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yl_folders\temp\"/>
    </mc:Choice>
  </mc:AlternateContent>
  <xr:revisionPtr revIDLastSave="0" documentId="13_ncr:1_{85823D0A-1733-4984-8860-F71A5F89C20D}" xr6:coauthVersionLast="47" xr6:coauthVersionMax="47" xr10:uidLastSave="{00000000-0000-0000-0000-000000000000}"/>
  <bookViews>
    <workbookView xWindow="-38520" yWindow="-15" windowWidth="38640" windowHeight="21120" tabRatio="500" activeTab="4" xr2:uid="{00000000-000D-0000-FFFF-FFFF00000000}"/>
  </bookViews>
  <sheets>
    <sheet name="0. Cover Page" sheetId="10" r:id="rId1"/>
    <sheet name="1. Summary &amp; Budget" sheetId="1" r:id="rId2"/>
    <sheet name="2. Recommended Readings" sheetId="9" r:id="rId3"/>
    <sheet name="3. Projections" sheetId="11" r:id="rId4"/>
    <sheet name="4. Life Planning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2" l="1"/>
  <c r="F23" i="12" l="1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E25" i="12"/>
  <c r="D18" i="12"/>
  <c r="E20" i="12" s="1"/>
  <c r="D26" i="12"/>
  <c r="D27" i="12" s="1"/>
  <c r="D25" i="12"/>
  <c r="E22" i="12"/>
  <c r="F22" i="12" s="1"/>
  <c r="G22" i="12" s="1"/>
  <c r="H22" i="12" s="1"/>
  <c r="I22" i="12" s="1"/>
  <c r="J22" i="12" s="1"/>
  <c r="K22" i="12" s="1"/>
  <c r="L22" i="12" s="1"/>
  <c r="M22" i="12" s="1"/>
  <c r="N22" i="12" s="1"/>
  <c r="O22" i="12" s="1"/>
  <c r="P22" i="12" s="1"/>
  <c r="Q22" i="12" s="1"/>
  <c r="R22" i="12" s="1"/>
  <c r="S22" i="12" s="1"/>
  <c r="T22" i="12" s="1"/>
  <c r="U22" i="12" s="1"/>
  <c r="V22" i="12" s="1"/>
  <c r="W22" i="12" s="1"/>
  <c r="X22" i="12" s="1"/>
  <c r="Y22" i="12" s="1"/>
  <c r="Z22" i="12" s="1"/>
  <c r="AA22" i="12" s="1"/>
  <c r="AB22" i="12" s="1"/>
  <c r="AC22" i="12" s="1"/>
  <c r="AD22" i="12" s="1"/>
  <c r="AE22" i="12" s="1"/>
  <c r="AF22" i="12" s="1"/>
  <c r="AG22" i="12" s="1"/>
  <c r="E19" i="12"/>
  <c r="E17" i="12"/>
  <c r="F17" i="12" s="1"/>
  <c r="G17" i="12" s="1"/>
  <c r="H17" i="12" s="1"/>
  <c r="I17" i="12" s="1"/>
  <c r="J17" i="12" s="1"/>
  <c r="K17" i="12" s="1"/>
  <c r="L17" i="12" s="1"/>
  <c r="M17" i="12" s="1"/>
  <c r="N17" i="12" s="1"/>
  <c r="O17" i="12" s="1"/>
  <c r="P17" i="12" s="1"/>
  <c r="Q17" i="12" s="1"/>
  <c r="R17" i="12" s="1"/>
  <c r="S17" i="12" s="1"/>
  <c r="T17" i="12" s="1"/>
  <c r="U17" i="12" s="1"/>
  <c r="V17" i="12" s="1"/>
  <c r="W17" i="12" s="1"/>
  <c r="X17" i="12" s="1"/>
  <c r="Y17" i="12" s="1"/>
  <c r="Z17" i="12" s="1"/>
  <c r="AA17" i="12" s="1"/>
  <c r="AB17" i="12" s="1"/>
  <c r="AC17" i="12" s="1"/>
  <c r="AD17" i="12" s="1"/>
  <c r="AE17" i="12" s="1"/>
  <c r="AF17" i="12" s="1"/>
  <c r="AG17" i="12" s="1"/>
  <c r="E16" i="12"/>
  <c r="F16" i="12" s="1"/>
  <c r="E15" i="12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D12" i="12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F11" i="12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AB11" i="12" s="1"/>
  <c r="AC11" i="12" s="1"/>
  <c r="AD11" i="12" s="1"/>
  <c r="AE11" i="12" s="1"/>
  <c r="AF11" i="12" s="1"/>
  <c r="AG11" i="12" s="1"/>
  <c r="E11" i="12"/>
  <c r="D25" i="1"/>
  <c r="D26" i="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D56" i="11"/>
  <c r="D57" i="11" s="1"/>
  <c r="H55" i="11"/>
  <c r="H56" i="11" s="1"/>
  <c r="H57" i="11" s="1"/>
  <c r="H58" i="11" s="1"/>
  <c r="H59" i="11" s="1"/>
  <c r="H60" i="11" s="1"/>
  <c r="H61" i="11" s="1"/>
  <c r="H62" i="11" s="1"/>
  <c r="H63" i="11" s="1"/>
  <c r="H64" i="11" s="1"/>
  <c r="H65" i="11" s="1"/>
  <c r="H66" i="11" s="1"/>
  <c r="H67" i="11" s="1"/>
  <c r="H68" i="11" s="1"/>
  <c r="H69" i="11" s="1"/>
  <c r="H70" i="11" s="1"/>
  <c r="H71" i="11" s="1"/>
  <c r="H72" i="11" s="1"/>
  <c r="H73" i="11" s="1"/>
  <c r="H74" i="11" s="1"/>
  <c r="H75" i="11" s="1"/>
  <c r="H76" i="11" s="1"/>
  <c r="H77" i="11" s="1"/>
  <c r="H78" i="11" s="1"/>
  <c r="H79" i="11" s="1"/>
  <c r="H80" i="11" s="1"/>
  <c r="H81" i="11" s="1"/>
  <c r="H82" i="11" s="1"/>
  <c r="H83" i="11" s="1"/>
  <c r="H84" i="11" s="1"/>
  <c r="H85" i="11" s="1"/>
  <c r="H86" i="11" s="1"/>
  <c r="H87" i="11" s="1"/>
  <c r="H88" i="11" s="1"/>
  <c r="H89" i="11" s="1"/>
  <c r="H90" i="11" s="1"/>
  <c r="H91" i="11" s="1"/>
  <c r="H92" i="11" s="1"/>
  <c r="H93" i="11" s="1"/>
  <c r="H94" i="11" s="1"/>
  <c r="H95" i="11" s="1"/>
  <c r="F55" i="11"/>
  <c r="D12" i="11" s="1"/>
  <c r="D55" i="11"/>
  <c r="F54" i="11"/>
  <c r="E53" i="11"/>
  <c r="D47" i="11"/>
  <c r="E47" i="11" s="1"/>
  <c r="D46" i="11"/>
  <c r="E46" i="11" s="1"/>
  <c r="E45" i="11"/>
  <c r="D45" i="11"/>
  <c r="D44" i="11"/>
  <c r="E44" i="11" s="1"/>
  <c r="D43" i="11"/>
  <c r="E43" i="11" s="1"/>
  <c r="D42" i="11"/>
  <c r="E42" i="11" s="1"/>
  <c r="F28" i="11"/>
  <c r="E28" i="11"/>
  <c r="D28" i="11"/>
  <c r="G28" i="11" s="1"/>
  <c r="H28" i="11" s="1"/>
  <c r="I28" i="11" s="1"/>
  <c r="F24" i="11"/>
  <c r="E24" i="11"/>
  <c r="G24" i="11" s="1"/>
  <c r="D24" i="11"/>
  <c r="C24" i="11"/>
  <c r="G23" i="11"/>
  <c r="F23" i="11"/>
  <c r="E23" i="11"/>
  <c r="D23" i="11"/>
  <c r="G22" i="11"/>
  <c r="F22" i="11"/>
  <c r="E22" i="11"/>
  <c r="D22" i="11"/>
  <c r="F21" i="11"/>
  <c r="E21" i="11"/>
  <c r="G21" i="11" s="1"/>
  <c r="D21" i="11"/>
  <c r="D9" i="11"/>
  <c r="D8" i="11"/>
  <c r="D7" i="11"/>
  <c r="E6" i="11"/>
  <c r="E5" i="11"/>
  <c r="F5" i="11" s="1"/>
  <c r="G54" i="11" s="1"/>
  <c r="F25" i="12" l="1"/>
  <c r="F19" i="12"/>
  <c r="Y24" i="12"/>
  <c r="Z15" i="12"/>
  <c r="E26" i="12"/>
  <c r="E27" i="12" s="1"/>
  <c r="E18" i="12"/>
  <c r="F20" i="12" s="1"/>
  <c r="G16" i="12"/>
  <c r="D58" i="1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D71" i="11" s="1"/>
  <c r="D72" i="11" s="1"/>
  <c r="D73" i="11" s="1"/>
  <c r="D74" i="11" s="1"/>
  <c r="D75" i="11" s="1"/>
  <c r="D76" i="11" s="1"/>
  <c r="D77" i="11" s="1"/>
  <c r="D78" i="11" s="1"/>
  <c r="D79" i="11" s="1"/>
  <c r="D80" i="11" s="1"/>
  <c r="D81" i="11" s="1"/>
  <c r="D82" i="11" s="1"/>
  <c r="D83" i="11" s="1"/>
  <c r="D84" i="11" s="1"/>
  <c r="D85" i="11" s="1"/>
  <c r="D86" i="11" s="1"/>
  <c r="D87" i="11" s="1"/>
  <c r="D88" i="11" s="1"/>
  <c r="D89" i="11" s="1"/>
  <c r="D90" i="11" s="1"/>
  <c r="D91" i="11" s="1"/>
  <c r="D92" i="11" s="1"/>
  <c r="D93" i="11" s="1"/>
  <c r="D94" i="11" s="1"/>
  <c r="D95" i="11" s="1"/>
  <c r="I54" i="11"/>
  <c r="G55" i="11"/>
  <c r="F53" i="11"/>
  <c r="H53" i="11"/>
  <c r="G19" i="12" l="1"/>
  <c r="F18" i="12"/>
  <c r="G20" i="12" s="1"/>
  <c r="F26" i="12"/>
  <c r="F27" i="12" s="1"/>
  <c r="G25" i="12"/>
  <c r="H16" i="12"/>
  <c r="AA15" i="12"/>
  <c r="Z24" i="12"/>
  <c r="G56" i="11"/>
  <c r="I55" i="11"/>
  <c r="D53" i="11"/>
  <c r="G18" i="12" l="1"/>
  <c r="H20" i="12" s="1"/>
  <c r="G26" i="12"/>
  <c r="G27" i="12" s="1"/>
  <c r="AA24" i="12"/>
  <c r="AB15" i="12"/>
  <c r="H19" i="12"/>
  <c r="H25" i="12"/>
  <c r="I16" i="12"/>
  <c r="G57" i="11"/>
  <c r="I56" i="11"/>
  <c r="H18" i="12" l="1"/>
  <c r="I20" i="12" s="1"/>
  <c r="I25" i="12"/>
  <c r="J16" i="12"/>
  <c r="I19" i="12"/>
  <c r="H26" i="12"/>
  <c r="H27" i="12" s="1"/>
  <c r="AB24" i="12"/>
  <c r="AC15" i="12"/>
  <c r="G58" i="11"/>
  <c r="I57" i="11"/>
  <c r="I18" i="12" l="1"/>
  <c r="J20" i="12" s="1"/>
  <c r="AD15" i="12"/>
  <c r="AC24" i="12"/>
  <c r="J19" i="12"/>
  <c r="I26" i="12"/>
  <c r="I27" i="12" s="1"/>
  <c r="J25" i="12"/>
  <c r="K16" i="12"/>
  <c r="G59" i="11"/>
  <c r="I58" i="11"/>
  <c r="L16" i="12" l="1"/>
  <c r="K25" i="12"/>
  <c r="K19" i="12"/>
  <c r="J26" i="12"/>
  <c r="J27" i="12" s="1"/>
  <c r="AD24" i="12"/>
  <c r="AE15" i="12"/>
  <c r="AF15" i="12" s="1"/>
  <c r="AG15" i="12" s="1"/>
  <c r="J18" i="12"/>
  <c r="K20" i="12" s="1"/>
  <c r="I59" i="11"/>
  <c r="G60" i="11"/>
  <c r="K18" i="12" l="1"/>
  <c r="L20" i="12" s="1"/>
  <c r="L19" i="12"/>
  <c r="K26" i="12"/>
  <c r="K27" i="12" s="1"/>
  <c r="L25" i="12"/>
  <c r="M16" i="12"/>
  <c r="G61" i="11"/>
  <c r="I60" i="11"/>
  <c r="L18" i="12" l="1"/>
  <c r="M20" i="12" s="1"/>
  <c r="M25" i="12"/>
  <c r="N16" i="12"/>
  <c r="M19" i="12"/>
  <c r="L26" i="12"/>
  <c r="L27" i="12" s="1"/>
  <c r="I61" i="11"/>
  <c r="G62" i="11"/>
  <c r="M18" i="12" l="1"/>
  <c r="N20" i="12" s="1"/>
  <c r="M26" i="12"/>
  <c r="M27" i="12" s="1"/>
  <c r="N19" i="12"/>
  <c r="N25" i="12"/>
  <c r="O16" i="12"/>
  <c r="G63" i="11"/>
  <c r="I62" i="11"/>
  <c r="N18" i="12" l="1"/>
  <c r="O20" i="12" s="1"/>
  <c r="P16" i="12"/>
  <c r="O25" i="12"/>
  <c r="N26" i="12"/>
  <c r="N27" i="12" s="1"/>
  <c r="O19" i="12"/>
  <c r="G64" i="11"/>
  <c r="I63" i="11"/>
  <c r="F32" i="1"/>
  <c r="F33" i="1"/>
  <c r="F34" i="1"/>
  <c r="F35" i="1"/>
  <c r="F36" i="1"/>
  <c r="F37" i="1"/>
  <c r="F38" i="1"/>
  <c r="F39" i="1"/>
  <c r="F40" i="1"/>
  <c r="F41" i="1"/>
  <c r="F42" i="1"/>
  <c r="F31" i="1"/>
  <c r="H32" i="1"/>
  <c r="H33" i="1"/>
  <c r="H34" i="1"/>
  <c r="H35" i="1"/>
  <c r="H36" i="1"/>
  <c r="H37" i="1"/>
  <c r="H38" i="1"/>
  <c r="H39" i="1"/>
  <c r="H40" i="1"/>
  <c r="H41" i="1"/>
  <c r="H42" i="1"/>
  <c r="H31" i="1"/>
  <c r="D15" i="1"/>
  <c r="D16" i="1" s="1"/>
  <c r="I32" i="1"/>
  <c r="I33" i="1"/>
  <c r="I34" i="1"/>
  <c r="I35" i="1"/>
  <c r="I36" i="1"/>
  <c r="I37" i="1"/>
  <c r="I38" i="1"/>
  <c r="I39" i="1"/>
  <c r="I40" i="1"/>
  <c r="I41" i="1"/>
  <c r="I42" i="1"/>
  <c r="I31" i="1"/>
  <c r="G33" i="1"/>
  <c r="F25" i="1"/>
  <c r="G21" i="1" s="1"/>
  <c r="E10" i="1"/>
  <c r="O18" i="12" l="1"/>
  <c r="P20" i="12" s="1"/>
  <c r="O26" i="12"/>
  <c r="O27" i="12" s="1"/>
  <c r="P19" i="12"/>
  <c r="Q16" i="12"/>
  <c r="P25" i="12"/>
  <c r="I64" i="11"/>
  <c r="G65" i="11"/>
  <c r="J33" i="1"/>
  <c r="G34" i="1"/>
  <c r="J34" i="1" s="1"/>
  <c r="D37" i="1"/>
  <c r="G32" i="1"/>
  <c r="J32" i="1" s="1"/>
  <c r="G31" i="1"/>
  <c r="J31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24" i="1"/>
  <c r="G22" i="1"/>
  <c r="G20" i="1"/>
  <c r="G23" i="1"/>
  <c r="P18" i="12" l="1"/>
  <c r="Q20" i="12" s="1"/>
  <c r="Q25" i="12"/>
  <c r="R16" i="12"/>
  <c r="P26" i="12"/>
  <c r="P27" i="12" s="1"/>
  <c r="Q19" i="12"/>
  <c r="G66" i="11"/>
  <c r="I65" i="11"/>
  <c r="D34" i="1"/>
  <c r="K34" i="1" s="1"/>
  <c r="D36" i="1"/>
  <c r="K36" i="1" s="1"/>
  <c r="D41" i="1"/>
  <c r="K41" i="1" s="1"/>
  <c r="D33" i="1"/>
  <c r="K33" i="1" s="1"/>
  <c r="D35" i="1"/>
  <c r="K35" i="1" s="1"/>
  <c r="D38" i="1"/>
  <c r="K38" i="1" s="1"/>
  <c r="D39" i="1"/>
  <c r="K39" i="1" s="1"/>
  <c r="D42" i="1"/>
  <c r="K42" i="1" s="1"/>
  <c r="D31" i="1"/>
  <c r="K31" i="1" s="1"/>
  <c r="D40" i="1"/>
  <c r="K40" i="1" s="1"/>
  <c r="D32" i="1"/>
  <c r="K32" i="1" s="1"/>
  <c r="K37" i="1"/>
  <c r="H21" i="1"/>
  <c r="I21" i="1" s="1"/>
  <c r="H24" i="1"/>
  <c r="I24" i="1" s="1"/>
  <c r="H23" i="1"/>
  <c r="I23" i="1" s="1"/>
  <c r="H20" i="1"/>
  <c r="I20" i="1" s="1"/>
  <c r="H22" i="1"/>
  <c r="I22" i="1" s="1"/>
  <c r="G25" i="1"/>
  <c r="J43" i="1"/>
  <c r="Q18" i="12" l="1"/>
  <c r="R20" i="12" s="1"/>
  <c r="Q26" i="12"/>
  <c r="Q27" i="12" s="1"/>
  <c r="R19" i="12"/>
  <c r="S16" i="12"/>
  <c r="R25" i="12"/>
  <c r="K43" i="1"/>
  <c r="I66" i="11"/>
  <c r="G67" i="11"/>
  <c r="H25" i="1"/>
  <c r="I25" i="1"/>
  <c r="R18" i="12" l="1"/>
  <c r="S20" i="12" s="1"/>
  <c r="R26" i="12"/>
  <c r="R27" i="12" s="1"/>
  <c r="S19" i="12"/>
  <c r="S25" i="12"/>
  <c r="T16" i="12"/>
  <c r="G68" i="11"/>
  <c r="I67" i="11"/>
  <c r="S18" i="12" l="1"/>
  <c r="T20" i="12" s="1"/>
  <c r="T25" i="12"/>
  <c r="U16" i="12"/>
  <c r="T19" i="12"/>
  <c r="S26" i="12"/>
  <c r="S27" i="12" s="1"/>
  <c r="G69" i="11"/>
  <c r="I68" i="11"/>
  <c r="T18" i="12" l="1"/>
  <c r="U20" i="12"/>
  <c r="T26" i="12"/>
  <c r="T27" i="12" s="1"/>
  <c r="U19" i="12"/>
  <c r="U25" i="12"/>
  <c r="V16" i="12"/>
  <c r="G70" i="11"/>
  <c r="I69" i="11"/>
  <c r="U26" i="12" l="1"/>
  <c r="U27" i="12" s="1"/>
  <c r="V19" i="12"/>
  <c r="U18" i="12"/>
  <c r="V20" i="12" s="1"/>
  <c r="V25" i="12"/>
  <c r="W16" i="12"/>
  <c r="G71" i="11"/>
  <c r="I70" i="11"/>
  <c r="V18" i="12" l="1"/>
  <c r="W20" i="12" s="1"/>
  <c r="W25" i="12"/>
  <c r="X16" i="12"/>
  <c r="W19" i="12"/>
  <c r="V26" i="12"/>
  <c r="V27" i="12" s="1"/>
  <c r="I71" i="11"/>
  <c r="G72" i="11"/>
  <c r="W18" i="12" l="1"/>
  <c r="X20" i="12" s="1"/>
  <c r="X19" i="12"/>
  <c r="W26" i="12"/>
  <c r="W27" i="12" s="1"/>
  <c r="X25" i="12"/>
  <c r="Y16" i="12"/>
  <c r="G73" i="11"/>
  <c r="I72" i="11"/>
  <c r="X18" i="12" l="1"/>
  <c r="Y20" i="12" s="1"/>
  <c r="Z16" i="12"/>
  <c r="Y25" i="12"/>
  <c r="Y19" i="12"/>
  <c r="X26" i="12"/>
  <c r="X27" i="12" s="1"/>
  <c r="I73" i="11"/>
  <c r="G74" i="11"/>
  <c r="Y18" i="12" l="1"/>
  <c r="Z20" i="12" s="1"/>
  <c r="Z25" i="12"/>
  <c r="AA16" i="12"/>
  <c r="Z19" i="12"/>
  <c r="Y26" i="12"/>
  <c r="Y27" i="12" s="1"/>
  <c r="G75" i="11"/>
  <c r="I74" i="11"/>
  <c r="Z18" i="12" l="1"/>
  <c r="AA20" i="12" s="1"/>
  <c r="Z26" i="12"/>
  <c r="Z27" i="12" s="1"/>
  <c r="AA19" i="12"/>
  <c r="AB16" i="12"/>
  <c r="AA25" i="12"/>
  <c r="G76" i="11"/>
  <c r="I75" i="11"/>
  <c r="AC16" i="12" l="1"/>
  <c r="AB25" i="12"/>
  <c r="AA18" i="12"/>
  <c r="AB20" i="12" s="1"/>
  <c r="AA26" i="12"/>
  <c r="AA27" i="12" s="1"/>
  <c r="AB19" i="12"/>
  <c r="I76" i="11"/>
  <c r="G77" i="11"/>
  <c r="AB18" i="12" l="1"/>
  <c r="AC20" i="12" s="1"/>
  <c r="AB26" i="12"/>
  <c r="AB27" i="12" s="1"/>
  <c r="AC19" i="12"/>
  <c r="AC25" i="12"/>
  <c r="AD16" i="12"/>
  <c r="G78" i="11"/>
  <c r="I77" i="11"/>
  <c r="AD25" i="12" l="1"/>
  <c r="AE16" i="12"/>
  <c r="AC26" i="12"/>
  <c r="AC27" i="12" s="1"/>
  <c r="AD19" i="12"/>
  <c r="AC18" i="12"/>
  <c r="AD20" i="12" s="1"/>
  <c r="I78" i="11"/>
  <c r="G79" i="11"/>
  <c r="AD18" i="12" l="1"/>
  <c r="AE20" i="12" s="1"/>
  <c r="AD26" i="12"/>
  <c r="AD27" i="12" s="1"/>
  <c r="AE19" i="12"/>
  <c r="AE25" i="12"/>
  <c r="AF16" i="12"/>
  <c r="G80" i="11"/>
  <c r="I79" i="11"/>
  <c r="AE18" i="12" l="1"/>
  <c r="AF20" i="12" s="1"/>
  <c r="AF25" i="12"/>
  <c r="AG16" i="12"/>
  <c r="AE26" i="12"/>
  <c r="AE27" i="12" s="1"/>
  <c r="AF19" i="12"/>
  <c r="G81" i="11"/>
  <c r="I80" i="11"/>
  <c r="AG25" i="12" l="1"/>
  <c r="AF18" i="12"/>
  <c r="AG20" i="12" s="1"/>
  <c r="AG18" i="12" s="1"/>
  <c r="AF26" i="12"/>
  <c r="AF27" i="12" s="1"/>
  <c r="AG19" i="12"/>
  <c r="I81" i="11"/>
  <c r="G82" i="11"/>
  <c r="AG26" i="12" l="1"/>
  <c r="AG27" i="12" s="1"/>
  <c r="G83" i="11"/>
  <c r="I82" i="11"/>
  <c r="I83" i="11" l="1"/>
  <c r="G84" i="11"/>
  <c r="G85" i="11" l="1"/>
  <c r="I84" i="11"/>
  <c r="I85" i="11" l="1"/>
  <c r="G86" i="11"/>
  <c r="G87" i="11" l="1"/>
  <c r="I86" i="11"/>
  <c r="G88" i="11" l="1"/>
  <c r="I87" i="11"/>
  <c r="I88" i="11" l="1"/>
  <c r="G89" i="11"/>
  <c r="G90" i="11" l="1"/>
  <c r="I89" i="11"/>
  <c r="I90" i="11" l="1"/>
  <c r="G91" i="11"/>
  <c r="G92" i="11" l="1"/>
  <c r="I91" i="11"/>
  <c r="G93" i="11" l="1"/>
  <c r="I92" i="11"/>
  <c r="G94" i="11" l="1"/>
  <c r="I93" i="11"/>
  <c r="G95" i="11" l="1"/>
  <c r="I94" i="11"/>
  <c r="I95" i="11" l="1"/>
  <c r="G53" i="11"/>
  <c r="D13" i="11" s="1"/>
  <c r="D14" i="11" s="1"/>
  <c r="G51" i="11" a="1"/>
  <c r="G51" i="11" s="1"/>
  <c r="I53" i="11" l="1"/>
  <c r="D15" i="11" s="1"/>
  <c r="D17" i="11" s="1"/>
  <c r="I51" i="11" a="1"/>
  <c r="I51" i="11" s="1"/>
</calcChain>
</file>

<file path=xl/sharedStrings.xml><?xml version="1.0" encoding="utf-8"?>
<sst xmlns="http://schemas.openxmlformats.org/spreadsheetml/2006/main" count="248" uniqueCount="215">
  <si>
    <t>Category</t>
  </si>
  <si>
    <t>Monthly</t>
  </si>
  <si>
    <t>Vanguard</t>
  </si>
  <si>
    <t>Taxes</t>
  </si>
  <si>
    <t>Source</t>
  </si>
  <si>
    <t>Accounts</t>
  </si>
  <si>
    <t>Purpose</t>
  </si>
  <si>
    <t>Amount</t>
  </si>
  <si>
    <t>Notes</t>
  </si>
  <si>
    <t>Everyday</t>
  </si>
  <si>
    <t>Roth 401(k)</t>
  </si>
  <si>
    <t>Retirement</t>
  </si>
  <si>
    <t>Investing</t>
  </si>
  <si>
    <t>N/A</t>
  </si>
  <si>
    <t>Gross</t>
  </si>
  <si>
    <t>Rent</t>
  </si>
  <si>
    <t>August</t>
  </si>
  <si>
    <t>VTSAX</t>
  </si>
  <si>
    <t>May</t>
  </si>
  <si>
    <t>June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</si>
  <si>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</si>
  <si>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</si>
  <si>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</si>
  <si>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</si>
  <si>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</si>
  <si>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</si>
  <si>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</si>
  <si>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</si>
  <si>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</si>
  <si>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Income</t>
  </si>
  <si>
    <t>Total Deposits</t>
  </si>
  <si>
    <t>Total</t>
  </si>
  <si>
    <t>Legend</t>
  </si>
  <si>
    <t>https://www.thesimpledollar.com/where-does-7-come-from-when-it-comes-to-long-term-stock-returns/</t>
  </si>
  <si>
    <t>Inflation</t>
  </si>
  <si>
    <t>http://www.usinflationcalculator.com/inflation/consumer-price-index-and-annual-percent-changes-from-1913-to-2008/</t>
  </si>
  <si>
    <t>Parameters</t>
  </si>
  <si>
    <t>Starting</t>
  </si>
  <si>
    <t>Effect of depositing each month</t>
  </si>
  <si>
    <t>Stock Returns</t>
  </si>
  <si>
    <t>Net</t>
  </si>
  <si>
    <t>Years growing</t>
  </si>
  <si>
    <t>1913-2018 inflation</t>
  </si>
  <si>
    <t>1984-2018 inflation</t>
  </si>
  <si>
    <t>Value</t>
  </si>
  <si>
    <t>Inflation-Adjusted Value</t>
  </si>
  <si>
    <t>Break-even withdrawal rate</t>
  </si>
  <si>
    <t>Inf-Adj "Pension"</t>
  </si>
  <si>
    <t>Monthly Compounding</t>
  </si>
  <si>
    <t>Monthly rate</t>
  </si>
  <si>
    <t>Ending</t>
  </si>
  <si>
    <t>Simple Yearly Compounding</t>
  </si>
  <si>
    <t>What-If starting</t>
  </si>
  <si>
    <t>Scaling factor</t>
  </si>
  <si>
    <t>Inflation Scaling</t>
  </si>
  <si>
    <t>Ratio</t>
  </si>
  <si>
    <t>Inflation-adjusted</t>
  </si>
  <si>
    <t>Pension</t>
  </si>
  <si>
    <t>Pay all debt</t>
  </si>
  <si>
    <t>Emergency fund (3-6 months' expenses)</t>
  </si>
  <si>
    <t>15% household income into retirement</t>
  </si>
  <si>
    <t>Children's College</t>
  </si>
  <si>
    <t>Pay off home</t>
  </si>
  <si>
    <t>Build wealth and give</t>
  </si>
  <si>
    <t>Simple Compounding</t>
  </si>
  <si>
    <t>Factor</t>
  </si>
  <si>
    <t>Millionaire age</t>
  </si>
  <si>
    <t>Age</t>
  </si>
  <si>
    <t>Year</t>
  </si>
  <si>
    <t>Monthly Deposits</t>
  </si>
  <si>
    <t>Year-end Value</t>
  </si>
  <si>
    <t>Interest</t>
  </si>
  <si>
    <t>Marriage</t>
  </si>
  <si>
    <t>Kid 1</t>
  </si>
  <si>
    <t>Kid 2</t>
  </si>
  <si>
    <t>External Factors</t>
  </si>
  <si>
    <t>Age at beginning</t>
  </si>
  <si>
    <t>Kid 1 age</t>
  </si>
  <si>
    <t>Kid 2 age</t>
  </si>
  <si>
    <t>College factor</t>
  </si>
  <si>
    <t>Inflation factor</t>
  </si>
  <si>
    <t>Assets</t>
  </si>
  <si>
    <t>Home starting</t>
  </si>
  <si>
    <t>Expenses</t>
  </si>
  <si>
    <t>Wealth</t>
  </si>
  <si>
    <t>Nominal Wealth</t>
  </si>
  <si>
    <t>Real Wealth</t>
  </si>
  <si>
    <t>car</t>
  </si>
  <si>
    <t>Tuition</t>
  </si>
  <si>
    <t>Annual Rate</t>
  </si>
  <si>
    <t/>
  </si>
  <si>
    <t>Amount ($1000)</t>
  </si>
  <si>
    <t>Physical assets (car, cash...)</t>
  </si>
  <si>
    <t>Item</t>
  </si>
  <si>
    <t>Dollars</t>
  </si>
  <si>
    <t>Raw Percent</t>
  </si>
  <si>
    <t>Normalized Percent</t>
  </si>
  <si>
    <t>Utilities</t>
  </si>
  <si>
    <t>Eating</t>
  </si>
  <si>
    <t>Fun</t>
  </si>
  <si>
    <t>Car</t>
  </si>
  <si>
    <t>Month</t>
  </si>
  <si>
    <t>Retirement (IRA)</t>
  </si>
  <si>
    <t>NV 529 for kids</t>
  </si>
  <si>
    <t>*123</t>
  </si>
  <si>
    <t>*456</t>
  </si>
  <si>
    <t>*789</t>
  </si>
  <si>
    <t>Credit and debit</t>
  </si>
  <si>
    <t>[Your Bank]</t>
  </si>
  <si>
    <t>[401k Provider]</t>
  </si>
  <si>
    <t>One-Time Costs</t>
  </si>
  <si>
    <t>User-entered, used in calculations</t>
  </si>
  <si>
    <t>Fill this column with your gut feel percentages</t>
  </si>
  <si>
    <t>This column adjusts to make them add to 1</t>
  </si>
  <si>
    <t>Auto-generated budget</t>
  </si>
  <si>
    <t>Percentages</t>
  </si>
  <si>
    <t>VTSAX. C.f. "Little Book of Common-Sense Investing" by Jack Bogle.</t>
  </si>
  <si>
    <t>1. Account Summary</t>
  </si>
  <si>
    <t>2. Rough Monthly Budget</t>
  </si>
  <si>
    <t>3. Yearly Projections</t>
  </si>
  <si>
    <t>Rent + Utilities</t>
  </si>
  <si>
    <t>Total Expenses</t>
  </si>
  <si>
    <t>Note: "Net" column follows a different color scheme, with red = debt, green = savings.</t>
  </si>
  <si>
    <t>Notes on 1-time Costs</t>
  </si>
  <si>
    <t>Car Repair</t>
  </si>
  <si>
    <t>Year-End Real Value</t>
  </si>
  <si>
    <t>Brute-Force Calculation</t>
  </si>
  <si>
    <t>Nominal Return (%)</t>
  </si>
  <si>
    <t>Real Return (%)</t>
  </si>
  <si>
    <t>US Stocks</t>
  </si>
  <si>
    <t>Bonds</t>
  </si>
  <si>
    <t>Interest Account</t>
  </si>
  <si>
    <t>Interest Earned</t>
  </si>
  <si>
    <t>Stocks Starting</t>
  </si>
  <si>
    <t>Other Starting</t>
  </si>
  <si>
    <t>Book</t>
  </si>
  <si>
    <t>Author</t>
  </si>
  <si>
    <t>Reading Order</t>
  </si>
  <si>
    <t>Total Money Makeover</t>
  </si>
  <si>
    <t>Dave Ramsey</t>
  </si>
  <si>
    <t>Millionaire Next Door</t>
  </si>
  <si>
    <t>Thomas Stanley &amp; William Danko</t>
  </si>
  <si>
    <t>Investing For Dummies (any version)</t>
  </si>
  <si>
    <t>Eric Tyson</t>
  </si>
  <si>
    <t>Learn all the key investing terms.</t>
  </si>
  <si>
    <t>What you'll learn</t>
  </si>
  <si>
    <t>Little Book of Common Sense Investing</t>
  </si>
  <si>
    <t>Jack Bogle</t>
  </si>
  <si>
    <t>How to simplify your investing.</t>
  </si>
  <si>
    <t>Capitalism and Freedom</t>
  </si>
  <si>
    <t>Milton Friedman</t>
  </si>
  <si>
    <t>The interconnected nature of capitalism and freedom.</t>
  </si>
  <si>
    <t>Follow-on Reading</t>
  </si>
  <si>
    <t>Securities Analysis (Graham and Dodd), CFA curriculum</t>
  </si>
  <si>
    <t>Other books by Milton Friedman, Adam Smith, Thomas Sowell</t>
  </si>
  <si>
    <t>Big Debt Crises</t>
  </si>
  <si>
    <t>Ray Dalio</t>
  </si>
  <si>
    <t>International finance and monetary policy. Will help you understand the news, economic cycles, and inflation... At the macro level</t>
  </si>
  <si>
    <t>General Text</t>
  </si>
  <si>
    <t>Important Text</t>
  </si>
  <si>
    <t>Important auto-calculated amount</t>
  </si>
  <si>
    <t>Auto-calculated amount</t>
  </si>
  <si>
    <t>Tab</t>
  </si>
  <si>
    <t>Contents</t>
  </si>
  <si>
    <t>Asset tracker, rough budget planners (monthly, yearly)</t>
  </si>
  <si>
    <t>Recommended financial books to read</t>
  </si>
  <si>
    <t>Simple financial modeling, to help you project into the future.</t>
  </si>
  <si>
    <t>Rough life-planning spreadsheet, helping you plan for the next ~30 years</t>
  </si>
  <si>
    <t>2, 5</t>
  </si>
  <si>
    <t>Message me on LinkedIn for other book recommendations. I mostly read about law, finance/money/economics, science/math/statistics/AI, psychology/learning.</t>
  </si>
  <si>
    <t>Return: Industry says 1.07 inflation-adjusted. I assume 2% dividends, 2% real earnings growth, plus inflation</t>
  </si>
  <si>
    <t>EAFE 4.58 return, World 6.5%, US Inflation 2.2% since 2000. Vanguard reports compound growth</t>
  </si>
  <si>
    <t>Some Notes</t>
  </si>
  <si>
    <t>Maximum value --&gt;</t>
  </si>
  <si>
    <r>
      <t>Balance(Y)   =   P(1 + r)</t>
    </r>
    <r>
      <rPr>
        <vertAlign val="superscript"/>
        <sz val="11"/>
        <color rgb="FF000000"/>
        <rFont val="Calibri"/>
        <family val="2"/>
        <scheme val="minor"/>
      </rPr>
      <t>Y</t>
    </r>
    <r>
      <rPr>
        <sz val="11"/>
        <color rgb="FF000000"/>
        <rFont val="Calibri"/>
        <family val="2"/>
        <scheme val="minor"/>
      </rPr>
      <t>   +   c[ ((1 + r)</t>
    </r>
    <r>
      <rPr>
        <vertAlign val="superscript"/>
        <sz val="11"/>
        <color rgb="FF000000"/>
        <rFont val="Calibri"/>
        <family val="2"/>
        <scheme val="minor"/>
      </rPr>
      <t>Y</t>
    </r>
    <r>
      <rPr>
        <sz val="11"/>
        <color rgb="FF000000"/>
        <rFont val="Calibri"/>
        <family val="2"/>
        <scheme val="minor"/>
      </rPr>
      <t> - 1) / r ]</t>
    </r>
  </si>
  <si>
    <t>Event--&gt;</t>
  </si>
  <si>
    <t>Note: all numbers in $1000's.</t>
  </si>
  <si>
    <t>College 1</t>
  </si>
  <si>
    <t>College 2</t>
  </si>
  <si>
    <t>Parameter</t>
  </si>
  <si>
    <t>College Increase</t>
  </si>
  <si>
    <t>Month Net</t>
  </si>
  <si>
    <t>Take-Home $</t>
  </si>
  <si>
    <t>Monthly Take-Home (after tax + Roth)</t>
  </si>
  <si>
    <t>Budget based on 2 pay periods per month. The extra 2 give you buffer for unexpected</t>
  </si>
  <si>
    <t>Avg. Surplus</t>
  </si>
  <si>
    <t>Manual Take-home Budget</t>
  </si>
  <si>
    <t>The Complete Book of Wills, Estates, &amp; Trusts</t>
  </si>
  <si>
    <t>Bove &amp; Langa</t>
  </si>
  <si>
    <t>Save $1000</t>
  </si>
  <si>
    <t>Emergency fund (3 months' expenses)</t>
  </si>
  <si>
    <t>Baby Steps</t>
  </si>
  <si>
    <t>Dr. Dyl</t>
  </si>
  <si>
    <t>Max 401(k), then IRA, in VTSAX</t>
  </si>
  <si>
    <t>Build to $1M, angel investing, give</t>
  </si>
  <si>
    <t>After Tax Salary</t>
  </si>
  <si>
    <t>Lifestyle + Kids</t>
  </si>
  <si>
    <t>Total Expeses</t>
  </si>
  <si>
    <t>Results @ Retirement</t>
  </si>
  <si>
    <t>Uses cell D16, assuming retirement &amp; taxes are auto-deducted.</t>
  </si>
  <si>
    <t>Difference between Manural (col. D) &amp; Percentages (col. H)</t>
  </si>
  <si>
    <t>Difference (D - H)</t>
  </si>
  <si>
    <t>The basics of preparing your estate, so when you die, your assets will smoothly transfer as you desire.</t>
  </si>
  <si>
    <t xml:space="preserve">1. Debt is investing against yourself. Eliminate it. Suggested steps can be found in Tab 3 Section 5, or reading Dave Ramsey (Tab 2). </t>
  </si>
  <si>
    <t xml:space="preserve">3. To build wealth, invest in US companies ("stocks"). </t>
  </si>
  <si>
    <t xml:space="preserve">2. Build simple habits, then figure out the details  of wealth-building using this woksheet, but always KEEP IT SIMPLE. Nobody built $10M by having 0.1% higher interest rate on their "savings" account, or adding a credit card that gave them 5% cash back on overpriced airline tickets.   </t>
  </si>
  <si>
    <t>Assets producing zero to low income (checking, savings, cars, jewelery)</t>
  </si>
  <si>
    <t>Investment-grade interest-bearing assets (money market, treasuries, AA bonds, etc.)</t>
  </si>
  <si>
    <t>Once you deduct expenses (maintenance, taxes), home roughly increases at inflation.</t>
  </si>
  <si>
    <t>Edited 2024-08-27</t>
  </si>
  <si>
    <t>To unlearn the money nonsense you've learned from everyone around you.</t>
  </si>
  <si>
    <t>Statistics about Americans' wealth-building and wealth-destroying habits.</t>
  </si>
  <si>
    <t>If we're not connected, "Connect" with me and include a personalized message explaining why you want to Connect. I generally reject unsolicited requests, but accept requests with (individualized non-spam) messages.</t>
  </si>
  <si>
    <t>Nominal kid $</t>
  </si>
  <si>
    <t>Nominal College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</si>
</sst>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_(\$* #,##0.00_);_(\$* \(#,##0.00\);_(\$* \-??_);_(@_)"/>
    <numFmt numFmtId="165" formatCode="_(\$* #,##0_);_(\$* \(#,##0\);_(\$* \-??_);_(@_)"/>
    <numFmt numFmtId="166" formatCode="0.0000"/>
    <numFmt numFmtId="167" formatCode="0.000"/>
    <numFmt numFmtId="168" formatCode="0.00000000000000"/>
    <numFmt numFmtId="169" formatCode="_([$$-409]* #,##0_);_([$$-409]* \(#,##0\);_([$$-409]* \-??_);_(@_)"/>
    <numFmt numFmtId="170" formatCode="#,##0.0"/>
    <numFmt numFmtId="171" formatCode="[$-409]#,##0\ ;[Red]\(#,##0\)"/>
    <numFmt numFmtId="172" formatCode="0.0"/>
  </numFmts>
  <fonts count="22">
    <font>
      <sz val="11"/>
      <color rgb="FF000000"/>
      <name val="Calibri"/>
      <family val="2"/>
      <charset val="1"/>
    </font>
    <font>
      <sz val="11"/>
      <color rgb="FF000000"/>
      <name val="Arial1"/>
      <charset val="1"/>
    </font>
    <font>
      <sz val="11"/>
      <color rgb="FFBFBFBF"/>
      <name val="Calibri"/>
      <family val="2"/>
      <charset val="1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B7B7B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000000"/>
      <name val="Calibri"/>
      <family val="2"/>
    </font>
    <font>
      <sz val="11"/>
      <color rgb="FFBFBFBF"/>
      <name val="Calibri"/>
      <family val="2"/>
      <scheme val="minor"/>
    </font>
    <font>
      <sz val="11"/>
      <name val="Calibri"/>
      <family val="2"/>
      <scheme val="minor"/>
    </font>
    <font>
      <sz val="11"/>
      <color rgb="FFA5A5A5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rgb="FFA5A5A5"/>
      <name val="Calibri"/>
      <family val="2"/>
      <scheme val="minor"/>
    </font>
    <font>
      <b/>
      <sz val="11"/>
      <color rgb="FFBFBFBF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u/>
      <sz val="11"/>
      <color rgb="FF0563C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E2F0D9"/>
        <bgColor rgb="FFDDE8CB"/>
      </patternFill>
    </fill>
    <fill>
      <patternFill patternType="solid">
        <fgColor rgb="FFFBE5D6"/>
        <bgColor rgb="FFFFF2CC"/>
      </patternFill>
    </fill>
    <fill>
      <patternFill patternType="solid">
        <fgColor rgb="FF00B050"/>
        <bgColor rgb="FF00808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DEE6EF"/>
      </patternFill>
    </fill>
    <fill>
      <patternFill patternType="solid">
        <fgColor theme="8" tint="0.79998168889431442"/>
        <bgColor rgb="FFFFF2CC"/>
      </patternFill>
    </fill>
    <fill>
      <patternFill patternType="solid">
        <fgColor theme="9" tint="0.79998168889431442"/>
        <bgColor rgb="FFDDE8CB"/>
      </patternFill>
    </fill>
    <fill>
      <patternFill patternType="solid">
        <fgColor theme="5" tint="0.79998168889431442"/>
        <bgColor rgb="FFFBE5D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008080"/>
      </patternFill>
    </fill>
  </fills>
  <borders count="5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323">
    <xf numFmtId="0" fontId="0" fillId="0" borderId="0" xfId="0"/>
    <xf numFmtId="0" fontId="0" fillId="0" borderId="13" xfId="0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8" borderId="21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6" fillId="8" borderId="20" xfId="0" applyFont="1" applyFill="1" applyBorder="1" applyAlignment="1">
      <alignment wrapText="1"/>
    </xf>
    <xf numFmtId="0" fontId="8" fillId="0" borderId="11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9" fillId="0" borderId="0" xfId="0" applyFont="1"/>
    <xf numFmtId="0" fontId="7" fillId="0" borderId="0" xfId="0" applyFont="1" applyAlignment="1">
      <alignment horizontal="right" wrapText="1"/>
    </xf>
    <xf numFmtId="0" fontId="0" fillId="0" borderId="15" xfId="0" applyBorder="1"/>
    <xf numFmtId="0" fontId="6" fillId="0" borderId="13" xfId="0" applyFont="1" applyBorder="1"/>
    <xf numFmtId="0" fontId="6" fillId="6" borderId="14" xfId="0" applyFont="1" applyFill="1" applyBorder="1"/>
    <xf numFmtId="0" fontId="9" fillId="0" borderId="19" xfId="0" applyFont="1" applyBorder="1" applyAlignment="1">
      <alignment wrapText="1"/>
    </xf>
    <xf numFmtId="0" fontId="9" fillId="0" borderId="0" xfId="0" applyFont="1" applyAlignment="1">
      <alignment wrapText="1"/>
    </xf>
    <xf numFmtId="0" fontId="6" fillId="6" borderId="14" xfId="0" applyFont="1" applyFill="1" applyBorder="1" applyAlignment="1">
      <alignment horizontal="right" wrapText="1"/>
    </xf>
    <xf numFmtId="0" fontId="6" fillId="6" borderId="13" xfId="0" applyFont="1" applyFill="1" applyBorder="1" applyAlignment="1">
      <alignment horizontal="right" wrapText="1"/>
    </xf>
    <xf numFmtId="0" fontId="6" fillId="0" borderId="27" xfId="0" applyFont="1" applyBorder="1" applyAlignment="1">
      <alignment wrapText="1"/>
    </xf>
    <xf numFmtId="0" fontId="6" fillId="6" borderId="28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" fillId="0" borderId="14" xfId="0" applyFont="1" applyBorder="1"/>
    <xf numFmtId="0" fontId="3" fillId="0" borderId="17" xfId="0" applyFont="1" applyBorder="1"/>
    <xf numFmtId="0" fontId="2" fillId="0" borderId="0" xfId="0" applyFont="1"/>
    <xf numFmtId="0" fontId="3" fillId="0" borderId="0" xfId="0" applyFont="1"/>
    <xf numFmtId="0" fontId="5" fillId="17" borderId="40" xfId="0" applyFont="1" applyFill="1" applyBorder="1"/>
    <xf numFmtId="0" fontId="0" fillId="7" borderId="33" xfId="0" applyFill="1" applyBorder="1"/>
    <xf numFmtId="0" fontId="0" fillId="0" borderId="34" xfId="0" applyBorder="1"/>
    <xf numFmtId="0" fontId="10" fillId="6" borderId="34" xfId="0" applyFont="1" applyFill="1" applyBorder="1"/>
    <xf numFmtId="0" fontId="10" fillId="10" borderId="34" xfId="0" applyFont="1" applyFill="1" applyBorder="1"/>
    <xf numFmtId="0" fontId="10" fillId="11" borderId="35" xfId="0" applyFont="1" applyFill="1" applyBorder="1"/>
    <xf numFmtId="2" fontId="6" fillId="12" borderId="3" xfId="0" applyNumberFormat="1" applyFont="1" applyFill="1" applyBorder="1"/>
    <xf numFmtId="1" fontId="6" fillId="12" borderId="3" xfId="0" applyNumberFormat="1" applyFont="1" applyFill="1" applyBorder="1" applyAlignment="1">
      <alignment horizontal="right" wrapText="1"/>
    </xf>
    <xf numFmtId="1" fontId="6" fillId="12" borderId="14" xfId="0" applyNumberFormat="1" applyFont="1" applyFill="1" applyBorder="1" applyAlignment="1">
      <alignment horizontal="right" wrapText="1"/>
    </xf>
    <xf numFmtId="2" fontId="6" fillId="12" borderId="13" xfId="0" applyNumberFormat="1" applyFont="1" applyFill="1" applyBorder="1" applyAlignment="1">
      <alignment horizontal="right" wrapText="1"/>
    </xf>
    <xf numFmtId="1" fontId="6" fillId="12" borderId="13" xfId="0" applyNumberFormat="1" applyFont="1" applyFill="1" applyBorder="1" applyAlignment="1">
      <alignment horizontal="right" wrapText="1"/>
    </xf>
    <xf numFmtId="0" fontId="6" fillId="0" borderId="0" xfId="2" applyFont="1"/>
    <xf numFmtId="0" fontId="6" fillId="0" borderId="40" xfId="2" applyFont="1" applyBorder="1"/>
    <xf numFmtId="0" fontId="6" fillId="0" borderId="33" xfId="2" applyFont="1" applyBorder="1"/>
    <xf numFmtId="0" fontId="6" fillId="0" borderId="34" xfId="2" applyFont="1" applyBorder="1"/>
    <xf numFmtId="4" fontId="6" fillId="0" borderId="34" xfId="2" applyNumberFormat="1" applyFont="1" applyBorder="1"/>
    <xf numFmtId="4" fontId="6" fillId="0" borderId="0" xfId="2" applyNumberFormat="1" applyFont="1"/>
    <xf numFmtId="0" fontId="6" fillId="0" borderId="0" xfId="2" applyFont="1" applyProtection="1">
      <protection locked="0"/>
    </xf>
    <xf numFmtId="0" fontId="6" fillId="0" borderId="3" xfId="2" applyFont="1" applyBorder="1" applyProtection="1">
      <protection locked="0"/>
    </xf>
    <xf numFmtId="0" fontId="8" fillId="0" borderId="32" xfId="2" applyFont="1" applyBorder="1" applyProtection="1">
      <protection locked="0"/>
    </xf>
    <xf numFmtId="0" fontId="8" fillId="0" borderId="26" xfId="2" applyFont="1" applyBorder="1" applyProtection="1">
      <protection locked="0"/>
    </xf>
    <xf numFmtId="0" fontId="8" fillId="0" borderId="24" xfId="2" applyFont="1" applyBorder="1" applyProtection="1">
      <protection locked="0"/>
    </xf>
    <xf numFmtId="0" fontId="6" fillId="0" borderId="2" xfId="2" applyFont="1" applyBorder="1" applyProtection="1">
      <protection locked="0"/>
    </xf>
    <xf numFmtId="0" fontId="6" fillId="3" borderId="9" xfId="2" applyFont="1" applyFill="1" applyBorder="1" applyProtection="1">
      <protection locked="0"/>
    </xf>
    <xf numFmtId="0" fontId="6" fillId="0" borderId="9" xfId="2" applyFont="1" applyBorder="1" applyProtection="1">
      <protection locked="0"/>
    </xf>
    <xf numFmtId="0" fontId="6" fillId="0" borderId="7" xfId="2" applyFont="1" applyBorder="1" applyProtection="1">
      <protection locked="0"/>
    </xf>
    <xf numFmtId="0" fontId="6" fillId="16" borderId="3" xfId="2" applyFont="1" applyFill="1" applyBorder="1" applyProtection="1">
      <protection locked="0"/>
    </xf>
    <xf numFmtId="4" fontId="9" fillId="0" borderId="7" xfId="2" applyNumberFormat="1" applyFont="1" applyBorder="1" applyProtection="1">
      <protection locked="0"/>
    </xf>
    <xf numFmtId="4" fontId="9" fillId="0" borderId="3" xfId="2" applyNumberFormat="1" applyFont="1" applyBorder="1" applyProtection="1">
      <protection locked="0"/>
    </xf>
    <xf numFmtId="4" fontId="6" fillId="0" borderId="34" xfId="2" applyNumberFormat="1" applyFont="1" applyBorder="1" applyProtection="1">
      <protection locked="0"/>
    </xf>
    <xf numFmtId="4" fontId="9" fillId="0" borderId="1" xfId="2" applyNumberFormat="1" applyFont="1" applyBorder="1" applyProtection="1">
      <protection locked="0"/>
    </xf>
    <xf numFmtId="4" fontId="9" fillId="0" borderId="8" xfId="2" applyNumberFormat="1" applyFont="1" applyBorder="1" applyProtection="1">
      <protection locked="0"/>
    </xf>
    <xf numFmtId="4" fontId="6" fillId="0" borderId="0" xfId="2" applyNumberFormat="1" applyFont="1" applyProtection="1">
      <protection locked="0"/>
    </xf>
    <xf numFmtId="0" fontId="6" fillId="0" borderId="34" xfId="2" applyFont="1" applyBorder="1" applyProtection="1">
      <protection locked="0"/>
    </xf>
    <xf numFmtId="0" fontId="6" fillId="0" borderId="10" xfId="2" applyFont="1" applyBorder="1" applyProtection="1">
      <protection locked="0"/>
    </xf>
    <xf numFmtId="172" fontId="6" fillId="0" borderId="11" xfId="2" applyNumberFormat="1" applyFont="1" applyBorder="1" applyProtection="1">
      <protection locked="0"/>
    </xf>
    <xf numFmtId="172" fontId="6" fillId="0" borderId="12" xfId="2" applyNumberFormat="1" applyFont="1" applyBorder="1" applyProtection="1">
      <protection locked="0"/>
    </xf>
    <xf numFmtId="0" fontId="6" fillId="0" borderId="27" xfId="2" applyFont="1" applyBorder="1" applyProtection="1">
      <protection locked="0"/>
    </xf>
    <xf numFmtId="172" fontId="6" fillId="0" borderId="8" xfId="2" applyNumberFormat="1" applyFont="1" applyBorder="1" applyProtection="1">
      <protection locked="0"/>
    </xf>
    <xf numFmtId="172" fontId="6" fillId="0" borderId="28" xfId="2" applyNumberFormat="1" applyFont="1" applyBorder="1" applyProtection="1">
      <protection locked="0"/>
    </xf>
    <xf numFmtId="172" fontId="6" fillId="15" borderId="11" xfId="2" applyNumberFormat="1" applyFont="1" applyFill="1" applyBorder="1" applyProtection="1">
      <protection locked="0"/>
    </xf>
    <xf numFmtId="3" fontId="6" fillId="0" borderId="13" xfId="2" applyNumberFormat="1" applyFont="1" applyBorder="1" applyProtection="1">
      <protection locked="0"/>
    </xf>
    <xf numFmtId="172" fontId="6" fillId="6" borderId="3" xfId="2" applyNumberFormat="1" applyFont="1" applyFill="1" applyBorder="1" applyProtection="1">
      <protection locked="0"/>
    </xf>
    <xf numFmtId="172" fontId="6" fillId="0" borderId="3" xfId="2" applyNumberFormat="1" applyFont="1" applyBorder="1" applyProtection="1">
      <protection locked="0"/>
    </xf>
    <xf numFmtId="172" fontId="6" fillId="0" borderId="14" xfId="2" applyNumberFormat="1" applyFont="1" applyBorder="1" applyProtection="1">
      <protection locked="0"/>
    </xf>
    <xf numFmtId="3" fontId="6" fillId="0" borderId="0" xfId="2" applyNumberFormat="1" applyFont="1" applyProtection="1">
      <protection locked="0"/>
    </xf>
    <xf numFmtId="3" fontId="6" fillId="0" borderId="34" xfId="2" applyNumberFormat="1" applyFont="1" applyBorder="1" applyProtection="1">
      <protection locked="0"/>
    </xf>
    <xf numFmtId="172" fontId="6" fillId="0" borderId="9" xfId="2" applyNumberFormat="1" applyFont="1" applyBorder="1" applyProtection="1">
      <protection locked="0"/>
    </xf>
    <xf numFmtId="170" fontId="6" fillId="0" borderId="0" xfId="2" applyNumberFormat="1" applyFont="1" applyProtection="1">
      <protection locked="0"/>
    </xf>
    <xf numFmtId="172" fontId="6" fillId="6" borderId="8" xfId="2" applyNumberFormat="1" applyFont="1" applyFill="1" applyBorder="1" applyProtection="1">
      <protection locked="0"/>
    </xf>
    <xf numFmtId="3" fontId="8" fillId="0" borderId="35" xfId="2" applyNumberFormat="1" applyFont="1" applyBorder="1" applyProtection="1">
      <protection locked="0"/>
    </xf>
    <xf numFmtId="3" fontId="8" fillId="11" borderId="37" xfId="2" applyNumberFormat="1" applyFont="1" applyFill="1" applyBorder="1" applyProtection="1">
      <protection locked="0"/>
    </xf>
    <xf numFmtId="172" fontId="8" fillId="11" borderId="16" xfId="2" applyNumberFormat="1" applyFont="1" applyFill="1" applyBorder="1" applyProtection="1">
      <protection locked="0"/>
    </xf>
    <xf numFmtId="172" fontId="8" fillId="11" borderId="17" xfId="2" applyNumberFormat="1" applyFont="1" applyFill="1" applyBorder="1" applyProtection="1">
      <protection locked="0"/>
    </xf>
    <xf numFmtId="3" fontId="8" fillId="0" borderId="0" xfId="2" applyNumberFormat="1" applyFont="1" applyProtection="1">
      <protection locked="0"/>
    </xf>
    <xf numFmtId="171" fontId="6" fillId="0" borderId="0" xfId="2" applyNumberFormat="1" applyFont="1" applyProtection="1">
      <protection locked="0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8" fillId="2" borderId="18" xfId="0" applyFont="1" applyFill="1" applyBorder="1" applyAlignment="1">
      <alignment horizontal="left"/>
    </xf>
    <xf numFmtId="164" fontId="8" fillId="7" borderId="41" xfId="0" applyNumberFormat="1" applyFont="1" applyFill="1" applyBorder="1" applyAlignment="1">
      <alignment horizontal="left"/>
    </xf>
    <xf numFmtId="2" fontId="12" fillId="0" borderId="10" xfId="0" applyNumberFormat="1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2" fontId="12" fillId="0" borderId="13" xfId="0" applyNumberFormat="1" applyFont="1" applyBorder="1" applyAlignment="1">
      <alignment horizontal="left"/>
    </xf>
    <xf numFmtId="2" fontId="12" fillId="0" borderId="14" xfId="0" applyNumberFormat="1" applyFont="1" applyBorder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166" fontId="11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6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67" fontId="11" fillId="0" borderId="0" xfId="0" applyNumberFormat="1" applyFont="1" applyAlignment="1">
      <alignment horizontal="left"/>
    </xf>
    <xf numFmtId="0" fontId="8" fillId="2" borderId="30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165" fontId="6" fillId="12" borderId="12" xfId="0" applyNumberFormat="1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12" borderId="14" xfId="0" applyNumberFormat="1" applyFont="1" applyFill="1" applyBorder="1" applyAlignment="1">
      <alignment horizontal="left"/>
    </xf>
    <xf numFmtId="165" fontId="6" fillId="4" borderId="14" xfId="0" applyNumberFormat="1" applyFont="1" applyFill="1" applyBorder="1" applyAlignment="1">
      <alignment horizontal="left"/>
    </xf>
    <xf numFmtId="0" fontId="6" fillId="0" borderId="13" xfId="0" applyFont="1" applyBorder="1" applyAlignment="1">
      <alignment horizontal="left" vertical="top"/>
    </xf>
    <xf numFmtId="2" fontId="6" fillId="6" borderId="14" xfId="0" applyNumberFormat="1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165" fontId="6" fillId="4" borderId="17" xfId="0" applyNumberFormat="1" applyFont="1" applyFill="1" applyBorder="1" applyAlignment="1">
      <alignment horizontal="left"/>
    </xf>
    <xf numFmtId="165" fontId="6" fillId="0" borderId="0" xfId="0" applyNumberFormat="1" applyFont="1" applyAlignment="1">
      <alignment horizontal="left"/>
    </xf>
    <xf numFmtId="0" fontId="8" fillId="0" borderId="18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166" fontId="13" fillId="0" borderId="11" xfId="0" applyNumberFormat="1" applyFont="1" applyBorder="1" applyAlignment="1">
      <alignment horizontal="left"/>
    </xf>
    <xf numFmtId="164" fontId="6" fillId="0" borderId="11" xfId="0" applyNumberFormat="1" applyFont="1" applyBorder="1" applyAlignment="1">
      <alignment horizontal="left"/>
    </xf>
    <xf numFmtId="165" fontId="6" fillId="0" borderId="11" xfId="0" applyNumberFormat="1" applyFont="1" applyBorder="1" applyAlignment="1">
      <alignment horizontal="left"/>
    </xf>
    <xf numFmtId="165" fontId="6" fillId="0" borderId="12" xfId="0" applyNumberFormat="1" applyFont="1" applyBorder="1" applyAlignment="1">
      <alignment horizontal="left"/>
    </xf>
    <xf numFmtId="166" fontId="13" fillId="0" borderId="3" xfId="0" applyNumberFormat="1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65" fontId="6" fillId="0" borderId="3" xfId="0" applyNumberFormat="1" applyFont="1" applyBorder="1" applyAlignment="1">
      <alignment horizontal="left"/>
    </xf>
    <xf numFmtId="165" fontId="6" fillId="0" borderId="14" xfId="0" applyNumberFormat="1" applyFont="1" applyBorder="1" applyAlignment="1">
      <alignment horizontal="left"/>
    </xf>
    <xf numFmtId="2" fontId="6" fillId="0" borderId="15" xfId="0" applyNumberFormat="1" applyFont="1" applyBorder="1" applyAlignment="1">
      <alignment horizontal="left"/>
    </xf>
    <xf numFmtId="166" fontId="13" fillId="0" borderId="16" xfId="0" applyNumberFormat="1" applyFont="1" applyBorder="1" applyAlignment="1">
      <alignment horizontal="left"/>
    </xf>
    <xf numFmtId="164" fontId="6" fillId="0" borderId="16" xfId="0" applyNumberFormat="1" applyFont="1" applyBorder="1" applyAlignment="1">
      <alignment horizontal="left"/>
    </xf>
    <xf numFmtId="165" fontId="6" fillId="0" borderId="16" xfId="0" applyNumberFormat="1" applyFont="1" applyBorder="1" applyAlignment="1">
      <alignment horizontal="left"/>
    </xf>
    <xf numFmtId="165" fontId="6" fillId="0" borderId="17" xfId="0" applyNumberFormat="1" applyFont="1" applyBorder="1" applyAlignment="1">
      <alignment horizontal="left"/>
    </xf>
    <xf numFmtId="164" fontId="6" fillId="3" borderId="25" xfId="0" applyNumberFormat="1" applyFont="1" applyFill="1" applyBorder="1" applyAlignment="1">
      <alignment horizontal="left"/>
    </xf>
    <xf numFmtId="164" fontId="6" fillId="0" borderId="42" xfId="0" applyNumberFormat="1" applyFont="1" applyBorder="1" applyAlignment="1">
      <alignment horizontal="left"/>
    </xf>
    <xf numFmtId="168" fontId="6" fillId="0" borderId="42" xfId="0" applyNumberFormat="1" applyFont="1" applyBorder="1" applyAlignment="1">
      <alignment horizontal="left"/>
    </xf>
    <xf numFmtId="164" fontId="6" fillId="0" borderId="43" xfId="0" applyNumberFormat="1" applyFont="1" applyBorder="1" applyAlignment="1">
      <alignment horizontal="left"/>
    </xf>
    <xf numFmtId="164" fontId="8" fillId="2" borderId="30" xfId="0" applyNumberFormat="1" applyFont="1" applyFill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1" fontId="12" fillId="0" borderId="13" xfId="0" applyNumberFormat="1" applyFont="1" applyBorder="1" applyAlignment="1">
      <alignment horizontal="left"/>
    </xf>
    <xf numFmtId="1" fontId="12" fillId="0" borderId="15" xfId="0" applyNumberFormat="1" applyFont="1" applyBorder="1" applyAlignment="1">
      <alignment horizontal="left"/>
    </xf>
    <xf numFmtId="164" fontId="8" fillId="2" borderId="29" xfId="0" applyNumberFormat="1" applyFont="1" applyFill="1" applyBorder="1" applyAlignment="1">
      <alignment horizontal="left"/>
    </xf>
    <xf numFmtId="164" fontId="6" fillId="0" borderId="10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1" fontId="6" fillId="0" borderId="13" xfId="0" applyNumberFormat="1" applyFont="1" applyBorder="1" applyAlignment="1">
      <alignment horizontal="left"/>
    </xf>
    <xf numFmtId="1" fontId="6" fillId="0" borderId="3" xfId="0" applyNumberFormat="1" applyFont="1" applyBorder="1" applyAlignment="1">
      <alignment horizontal="left"/>
    </xf>
    <xf numFmtId="2" fontId="6" fillId="0" borderId="14" xfId="0" applyNumberFormat="1" applyFont="1" applyBorder="1" applyAlignment="1">
      <alignment horizontal="left"/>
    </xf>
    <xf numFmtId="49" fontId="6" fillId="0" borderId="15" xfId="0" applyNumberFormat="1" applyFont="1" applyBorder="1" applyAlignment="1">
      <alignment horizontal="left"/>
    </xf>
    <xf numFmtId="2" fontId="6" fillId="6" borderId="17" xfId="0" applyNumberFormat="1" applyFont="1" applyFill="1" applyBorder="1" applyAlignment="1">
      <alignment horizontal="left"/>
    </xf>
    <xf numFmtId="1" fontId="6" fillId="0" borderId="15" xfId="0" applyNumberFormat="1" applyFont="1" applyBorder="1" applyAlignment="1">
      <alignment horizontal="left"/>
    </xf>
    <xf numFmtId="1" fontId="6" fillId="0" borderId="16" xfId="0" applyNumberFormat="1" applyFont="1" applyBorder="1" applyAlignment="1">
      <alignment horizontal="left"/>
    </xf>
    <xf numFmtId="2" fontId="6" fillId="0" borderId="17" xfId="0" applyNumberFormat="1" applyFont="1" applyBorder="1" applyAlignment="1">
      <alignment horizontal="left"/>
    </xf>
    <xf numFmtId="164" fontId="8" fillId="2" borderId="24" xfId="0" applyNumberFormat="1" applyFont="1" applyFill="1" applyBorder="1" applyAlignment="1">
      <alignment horizontal="left"/>
    </xf>
    <xf numFmtId="1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164" fontId="8" fillId="0" borderId="18" xfId="0" applyNumberFormat="1" applyFont="1" applyBorder="1" applyAlignment="1">
      <alignment horizontal="right"/>
    </xf>
    <xf numFmtId="0" fontId="8" fillId="11" borderId="26" xfId="0" applyFont="1" applyFill="1" applyBorder="1" applyAlignment="1">
      <alignment horizontal="left"/>
    </xf>
    <xf numFmtId="0" fontId="16" fillId="11" borderId="26" xfId="0" applyFont="1" applyFill="1" applyBorder="1" applyAlignment="1">
      <alignment horizontal="left"/>
    </xf>
    <xf numFmtId="169" fontId="8" fillId="11" borderId="26" xfId="0" applyNumberFormat="1" applyFont="1" applyFill="1" applyBorder="1" applyAlignment="1">
      <alignment horizontal="left"/>
    </xf>
    <xf numFmtId="169" fontId="17" fillId="11" borderId="26" xfId="0" applyNumberFormat="1" applyFont="1" applyFill="1" applyBorder="1" applyAlignment="1">
      <alignment horizontal="left"/>
    </xf>
    <xf numFmtId="2" fontId="17" fillId="11" borderId="26" xfId="0" applyNumberFormat="1" applyFont="1" applyFill="1" applyBorder="1" applyAlignment="1">
      <alignment horizontal="left"/>
    </xf>
    <xf numFmtId="165" fontId="8" fillId="11" borderId="24" xfId="0" applyNumberFormat="1" applyFont="1" applyFill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164" fontId="6" fillId="0" borderId="15" xfId="0" applyNumberFormat="1" applyFont="1" applyBorder="1" applyAlignment="1">
      <alignment horizontal="left"/>
    </xf>
    <xf numFmtId="169" fontId="6" fillId="0" borderId="0" xfId="0" applyNumberFormat="1" applyFont="1" applyAlignment="1">
      <alignment horizontal="left"/>
    </xf>
    <xf numFmtId="169" fontId="11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left"/>
    </xf>
    <xf numFmtId="164" fontId="6" fillId="0" borderId="0" xfId="0" applyNumberFormat="1" applyFont="1"/>
    <xf numFmtId="0" fontId="6" fillId="0" borderId="13" xfId="0" applyFont="1" applyBorder="1" applyAlignment="1">
      <alignment horizontal="center"/>
    </xf>
    <xf numFmtId="0" fontId="6" fillId="0" borderId="3" xfId="0" applyFont="1" applyBorder="1"/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18" fillId="0" borderId="0" xfId="0" applyFont="1"/>
    <xf numFmtId="0" fontId="8" fillId="2" borderId="4" xfId="0" applyFont="1" applyFill="1" applyBorder="1"/>
    <xf numFmtId="0" fontId="8" fillId="0" borderId="18" xfId="0" applyFont="1" applyBorder="1"/>
    <xf numFmtId="0" fontId="8" fillId="0" borderId="26" xfId="0" applyFont="1" applyBorder="1"/>
    <xf numFmtId="0" fontId="8" fillId="0" borderId="24" xfId="0" applyFont="1" applyBorder="1"/>
    <xf numFmtId="0" fontId="8" fillId="0" borderId="0" xfId="0" applyFont="1"/>
    <xf numFmtId="0" fontId="6" fillId="0" borderId="22" xfId="0" applyFont="1" applyBorder="1"/>
    <xf numFmtId="0" fontId="6" fillId="0" borderId="9" xfId="0" applyFont="1" applyBorder="1"/>
    <xf numFmtId="0" fontId="6" fillId="6" borderId="9" xfId="0" applyFont="1" applyFill="1" applyBorder="1"/>
    <xf numFmtId="0" fontId="11" fillId="0" borderId="23" xfId="0" applyFont="1" applyBorder="1"/>
    <xf numFmtId="0" fontId="8" fillId="0" borderId="0" xfId="0" quotePrefix="1" applyFont="1"/>
    <xf numFmtId="14" fontId="6" fillId="0" borderId="0" xfId="0" quotePrefix="1" applyNumberFormat="1" applyFont="1"/>
    <xf numFmtId="0" fontId="11" fillId="0" borderId="0" xfId="0" applyFont="1"/>
    <xf numFmtId="0" fontId="6" fillId="6" borderId="3" xfId="0" applyFont="1" applyFill="1" applyBorder="1"/>
    <xf numFmtId="0" fontId="6" fillId="0" borderId="0" xfId="0" quotePrefix="1" applyFont="1"/>
    <xf numFmtId="0" fontId="16" fillId="0" borderId="0" xfId="0" applyFont="1"/>
    <xf numFmtId="0" fontId="19" fillId="0" borderId="0" xfId="0" quotePrefix="1" applyFont="1"/>
    <xf numFmtId="0" fontId="6" fillId="0" borderId="15" xfId="0" applyFont="1" applyBorder="1"/>
    <xf numFmtId="0" fontId="6" fillId="6" borderId="16" xfId="0" applyFont="1" applyFill="1" applyBorder="1"/>
    <xf numFmtId="0" fontId="13" fillId="0" borderId="17" xfId="0" applyFont="1" applyBorder="1"/>
    <xf numFmtId="0" fontId="6" fillId="7" borderId="25" xfId="0" applyFont="1" applyFill="1" applyBorder="1"/>
    <xf numFmtId="0" fontId="6" fillId="11" borderId="6" xfId="0" applyFont="1" applyFill="1" applyBorder="1"/>
    <xf numFmtId="0" fontId="8" fillId="9" borderId="5" xfId="0" applyFont="1" applyFill="1" applyBorder="1"/>
    <xf numFmtId="3" fontId="6" fillId="6" borderId="23" xfId="0" applyNumberFormat="1" applyFont="1" applyFill="1" applyBorder="1"/>
    <xf numFmtId="0" fontId="8" fillId="9" borderId="4" xfId="0" applyFont="1" applyFill="1" applyBorder="1"/>
    <xf numFmtId="164" fontId="9" fillId="0" borderId="0" xfId="0" applyNumberFormat="1" applyFont="1"/>
    <xf numFmtId="164" fontId="12" fillId="0" borderId="0" xfId="0" applyNumberFormat="1" applyFont="1"/>
    <xf numFmtId="164" fontId="6" fillId="0" borderId="13" xfId="0" applyNumberFormat="1" applyFont="1" applyBorder="1"/>
    <xf numFmtId="164" fontId="6" fillId="13" borderId="3" xfId="0" applyNumberFormat="1" applyFont="1" applyFill="1" applyBorder="1"/>
    <xf numFmtId="164" fontId="6" fillId="10" borderId="3" xfId="0" applyNumberFormat="1" applyFont="1" applyFill="1" applyBorder="1"/>
    <xf numFmtId="165" fontId="6" fillId="14" borderId="3" xfId="0" applyNumberFormat="1" applyFont="1" applyFill="1" applyBorder="1"/>
    <xf numFmtId="44" fontId="6" fillId="0" borderId="3" xfId="0" applyNumberFormat="1" applyFont="1" applyBorder="1"/>
    <xf numFmtId="164" fontId="6" fillId="0" borderId="14" xfId="0" applyNumberFormat="1" applyFont="1" applyBorder="1"/>
    <xf numFmtId="164" fontId="8" fillId="0" borderId="0" xfId="0" applyNumberFormat="1" applyFont="1"/>
    <xf numFmtId="164" fontId="6" fillId="0" borderId="15" xfId="0" applyNumberFormat="1" applyFont="1" applyBorder="1"/>
    <xf numFmtId="164" fontId="6" fillId="13" borderId="16" xfId="0" applyNumberFormat="1" applyFont="1" applyFill="1" applyBorder="1"/>
    <xf numFmtId="164" fontId="6" fillId="10" borderId="16" xfId="0" applyNumberFormat="1" applyFont="1" applyFill="1" applyBorder="1"/>
    <xf numFmtId="165" fontId="6" fillId="14" borderId="16" xfId="0" applyNumberFormat="1" applyFont="1" applyFill="1" applyBorder="1"/>
    <xf numFmtId="44" fontId="6" fillId="0" borderId="16" xfId="0" applyNumberFormat="1" applyFont="1" applyBorder="1"/>
    <xf numFmtId="164" fontId="6" fillId="0" borderId="17" xfId="0" applyNumberFormat="1" applyFont="1" applyBorder="1"/>
    <xf numFmtId="164" fontId="6" fillId="7" borderId="18" xfId="0" applyNumberFormat="1" applyFont="1" applyFill="1" applyBorder="1"/>
    <xf numFmtId="165" fontId="6" fillId="18" borderId="26" xfId="0" applyNumberFormat="1" applyFont="1" applyFill="1" applyBorder="1"/>
    <xf numFmtId="44" fontId="6" fillId="5" borderId="24" xfId="0" applyNumberFormat="1" applyFont="1" applyFill="1" applyBorder="1"/>
    <xf numFmtId="0" fontId="20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3" xfId="2" applyFont="1" applyBorder="1" applyProtection="1">
      <protection locked="0"/>
    </xf>
    <xf numFmtId="0" fontId="6" fillId="3" borderId="14" xfId="2" applyFont="1" applyFill="1" applyBorder="1"/>
    <xf numFmtId="0" fontId="6" fillId="0" borderId="15" xfId="2" applyFont="1" applyBorder="1" applyProtection="1">
      <protection locked="0"/>
    </xf>
    <xf numFmtId="0" fontId="6" fillId="3" borderId="17" xfId="2" applyFont="1" applyFill="1" applyBorder="1"/>
    <xf numFmtId="0" fontId="6" fillId="0" borderId="0" xfId="2" applyFont="1" applyAlignment="1">
      <alignment horizontal="right"/>
    </xf>
    <xf numFmtId="0" fontId="6" fillId="6" borderId="0" xfId="2" applyFont="1" applyFill="1"/>
    <xf numFmtId="0" fontId="6" fillId="0" borderId="22" xfId="2" applyFont="1" applyBorder="1"/>
    <xf numFmtId="4" fontId="6" fillId="3" borderId="23" xfId="2" applyNumberFormat="1" applyFont="1" applyFill="1" applyBorder="1" applyAlignment="1" applyProtection="1">
      <alignment horizontal="right"/>
      <protection locked="0"/>
    </xf>
    <xf numFmtId="0" fontId="8" fillId="7" borderId="18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164" fontId="8" fillId="0" borderId="29" xfId="0" applyNumberFormat="1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2" fontId="17" fillId="0" borderId="29" xfId="0" applyNumberFormat="1" applyFont="1" applyBorder="1" applyAlignment="1">
      <alignment horizontal="left"/>
    </xf>
    <xf numFmtId="164" fontId="8" fillId="0" borderId="30" xfId="0" applyNumberFormat="1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9" fontId="6" fillId="0" borderId="11" xfId="0" applyNumberFormat="1" applyFont="1" applyBorder="1" applyAlignment="1">
      <alignment horizontal="left"/>
    </xf>
    <xf numFmtId="169" fontId="12" fillId="0" borderId="11" xfId="0" applyNumberFormat="1" applyFont="1" applyBorder="1" applyAlignment="1">
      <alignment horizontal="left"/>
    </xf>
    <xf numFmtId="2" fontId="12" fillId="0" borderId="11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69" fontId="6" fillId="0" borderId="3" xfId="0" applyNumberFormat="1" applyFont="1" applyBorder="1" applyAlignment="1">
      <alignment horizontal="left"/>
    </xf>
    <xf numFmtId="169" fontId="12" fillId="0" borderId="3" xfId="0" applyNumberFormat="1" applyFont="1" applyBorder="1" applyAlignment="1">
      <alignment horizontal="left"/>
    </xf>
    <xf numFmtId="2" fontId="12" fillId="0" borderId="3" xfId="0" applyNumberFormat="1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169" fontId="6" fillId="0" borderId="16" xfId="0" applyNumberFormat="1" applyFont="1" applyBorder="1" applyAlignment="1">
      <alignment horizontal="left"/>
    </xf>
    <xf numFmtId="169" fontId="12" fillId="0" borderId="16" xfId="0" applyNumberFormat="1" applyFont="1" applyBorder="1" applyAlignment="1">
      <alignment horizontal="left"/>
    </xf>
    <xf numFmtId="2" fontId="12" fillId="0" borderId="16" xfId="0" applyNumberFormat="1" applyFont="1" applyBorder="1" applyAlignment="1">
      <alignment horizontal="left"/>
    </xf>
    <xf numFmtId="1" fontId="8" fillId="11" borderId="12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left"/>
    </xf>
    <xf numFmtId="0" fontId="6" fillId="11" borderId="17" xfId="0" applyFont="1" applyFill="1" applyBorder="1" applyAlignment="1">
      <alignment horizontal="right" wrapText="1"/>
    </xf>
    <xf numFmtId="1" fontId="8" fillId="10" borderId="17" xfId="0" applyNumberFormat="1" applyFont="1" applyFill="1" applyBorder="1" applyAlignment="1">
      <alignment horizontal="right" wrapText="1"/>
    </xf>
    <xf numFmtId="164" fontId="6" fillId="0" borderId="22" xfId="0" applyNumberFormat="1" applyFont="1" applyBorder="1"/>
    <xf numFmtId="164" fontId="6" fillId="13" borderId="9" xfId="0" applyNumberFormat="1" applyFont="1" applyFill="1" applyBorder="1"/>
    <xf numFmtId="164" fontId="6" fillId="10" borderId="9" xfId="0" applyNumberFormat="1" applyFont="1" applyFill="1" applyBorder="1"/>
    <xf numFmtId="165" fontId="6" fillId="14" borderId="9" xfId="0" applyNumberFormat="1" applyFont="1" applyFill="1" applyBorder="1"/>
    <xf numFmtId="44" fontId="6" fillId="0" borderId="9" xfId="0" applyNumberFormat="1" applyFont="1" applyBorder="1"/>
    <xf numFmtId="164" fontId="6" fillId="0" borderId="23" xfId="0" applyNumberFormat="1" applyFont="1" applyBorder="1"/>
    <xf numFmtId="164" fontId="8" fillId="0" borderId="18" xfId="0" applyNumberFormat="1" applyFont="1" applyBorder="1"/>
    <xf numFmtId="164" fontId="8" fillId="0" borderId="26" xfId="0" applyNumberFormat="1" applyFont="1" applyBorder="1"/>
    <xf numFmtId="164" fontId="8" fillId="0" borderId="24" xfId="0" applyNumberFormat="1" applyFont="1" applyBorder="1"/>
    <xf numFmtId="165" fontId="6" fillId="3" borderId="12" xfId="0" applyNumberFormat="1" applyFont="1" applyFill="1" applyBorder="1" applyAlignment="1">
      <alignment horizontal="left"/>
    </xf>
    <xf numFmtId="165" fontId="6" fillId="3" borderId="14" xfId="0" applyNumberFormat="1" applyFont="1" applyFill="1" applyBorder="1" applyAlignment="1">
      <alignment horizontal="left"/>
    </xf>
    <xf numFmtId="2" fontId="8" fillId="3" borderId="14" xfId="0" applyNumberFormat="1" applyFont="1" applyFill="1" applyBorder="1" applyAlignment="1">
      <alignment horizontal="left"/>
    </xf>
    <xf numFmtId="2" fontId="6" fillId="12" borderId="17" xfId="0" applyNumberFormat="1" applyFont="1" applyFill="1" applyBorder="1" applyAlignment="1">
      <alignment horizontal="left"/>
    </xf>
    <xf numFmtId="172" fontId="6" fillId="10" borderId="11" xfId="2" applyNumberFormat="1" applyFont="1" applyFill="1" applyBorder="1" applyProtection="1">
      <protection locked="0"/>
    </xf>
    <xf numFmtId="172" fontId="6" fillId="10" borderId="12" xfId="2" applyNumberFormat="1" applyFont="1" applyFill="1" applyBorder="1" applyProtection="1">
      <protection locked="0"/>
    </xf>
    <xf numFmtId="3" fontId="6" fillId="0" borderId="27" xfId="2" applyNumberFormat="1" applyFont="1" applyBorder="1" applyProtection="1">
      <protection locked="0"/>
    </xf>
    <xf numFmtId="3" fontId="6" fillId="0" borderId="10" xfId="2" applyNumberFormat="1" applyFont="1" applyBorder="1" applyProtection="1">
      <protection locked="0"/>
    </xf>
    <xf numFmtId="172" fontId="6" fillId="6" borderId="11" xfId="2" applyNumberFormat="1" applyFont="1" applyFill="1" applyBorder="1" applyProtection="1">
      <protection locked="0"/>
    </xf>
    <xf numFmtId="3" fontId="6" fillId="0" borderId="38" xfId="2" applyNumberFormat="1" applyFont="1" applyBorder="1" applyProtection="1">
      <protection locked="0"/>
    </xf>
    <xf numFmtId="170" fontId="6" fillId="0" borderId="13" xfId="2" applyNumberFormat="1" applyFont="1" applyBorder="1" applyProtection="1">
      <protection locked="0"/>
    </xf>
    <xf numFmtId="170" fontId="6" fillId="0" borderId="38" xfId="2" applyNumberFormat="1" applyFont="1" applyBorder="1" applyProtection="1">
      <protection locked="0"/>
    </xf>
    <xf numFmtId="170" fontId="6" fillId="0" borderId="15" xfId="2" applyNumberFormat="1" applyFont="1" applyBorder="1" applyProtection="1">
      <protection locked="0"/>
    </xf>
    <xf numFmtId="172" fontId="6" fillId="10" borderId="16" xfId="2" applyNumberFormat="1" applyFont="1" applyFill="1" applyBorder="1" applyProtection="1">
      <protection locked="0"/>
    </xf>
    <xf numFmtId="172" fontId="6" fillId="10" borderId="17" xfId="2" applyNumberFormat="1" applyFont="1" applyFill="1" applyBorder="1" applyProtection="1">
      <protection locked="0"/>
    </xf>
    <xf numFmtId="164" fontId="8" fillId="7" borderId="31" xfId="0" applyNumberFormat="1" applyFont="1" applyFill="1" applyBorder="1"/>
    <xf numFmtId="164" fontId="8" fillId="7" borderId="29" xfId="0" applyNumberFormat="1" applyFont="1" applyFill="1" applyBorder="1"/>
    <xf numFmtId="164" fontId="8" fillId="7" borderId="30" xfId="0" applyNumberFormat="1" applyFont="1" applyFill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0" fillId="0" borderId="0" xfId="0" applyAlignment="1">
      <alignment vertical="center" wrapText="1"/>
    </xf>
    <xf numFmtId="0" fontId="5" fillId="7" borderId="10" xfId="0" applyFont="1" applyFill="1" applyBorder="1"/>
    <xf numFmtId="0" fontId="5" fillId="7" borderId="12" xfId="0" applyFont="1" applyFill="1" applyBorder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/>
    <xf numFmtId="0" fontId="5" fillId="0" borderId="4" xfId="0" applyFont="1" applyBorder="1" applyAlignment="1">
      <alignment horizontal="center"/>
    </xf>
    <xf numFmtId="49" fontId="12" fillId="0" borderId="41" xfId="0" applyNumberFormat="1" applyFont="1" applyBorder="1" applyAlignment="1">
      <alignment horizontal="center"/>
    </xf>
    <xf numFmtId="49" fontId="12" fillId="0" borderId="38" xfId="0" applyNumberFormat="1" applyFont="1" applyBorder="1" applyAlignment="1">
      <alignment horizontal="center"/>
    </xf>
    <xf numFmtId="49" fontId="12" fillId="0" borderId="46" xfId="0" applyNumberFormat="1" applyFont="1" applyBorder="1" applyAlignment="1">
      <alignment horizontal="center"/>
    </xf>
    <xf numFmtId="49" fontId="12" fillId="0" borderId="39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21" fillId="0" borderId="5" xfId="1" applyFont="1" applyBorder="1" applyAlignment="1" applyProtection="1">
      <alignment horizontal="center"/>
    </xf>
    <xf numFmtId="0" fontId="21" fillId="0" borderId="48" xfId="1" applyFont="1" applyBorder="1" applyAlignment="1" applyProtection="1">
      <alignment horizontal="center"/>
    </xf>
    <xf numFmtId="49" fontId="12" fillId="0" borderId="44" xfId="0" applyNumberFormat="1" applyFont="1" applyBorder="1" applyAlignment="1">
      <alignment horizontal="center"/>
    </xf>
    <xf numFmtId="49" fontId="12" fillId="0" borderId="45" xfId="0" applyNumberFormat="1" applyFont="1" applyBorder="1" applyAlignment="1">
      <alignment horizontal="center"/>
    </xf>
    <xf numFmtId="0" fontId="8" fillId="7" borderId="33" xfId="2" applyFont="1" applyFill="1" applyBorder="1" applyAlignment="1">
      <alignment horizontal="center" vertical="center"/>
    </xf>
    <xf numFmtId="0" fontId="8" fillId="7" borderId="35" xfId="2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/>
    </xf>
    <xf numFmtId="0" fontId="8" fillId="7" borderId="47" xfId="0" applyFont="1" applyFill="1" applyBorder="1" applyAlignment="1">
      <alignment horizontal="center"/>
    </xf>
    <xf numFmtId="0" fontId="8" fillId="7" borderId="48" xfId="0" applyFont="1" applyFill="1" applyBorder="1" applyAlignment="1">
      <alignment horizontal="center"/>
    </xf>
    <xf numFmtId="0" fontId="8" fillId="7" borderId="33" xfId="2" applyFont="1" applyFill="1" applyBorder="1" applyAlignment="1">
      <alignment horizontal="center" vertical="center" wrapText="1"/>
    </xf>
    <xf numFmtId="0" fontId="8" fillId="7" borderId="34" xfId="2" applyFont="1" applyFill="1" applyBorder="1" applyAlignment="1">
      <alignment horizontal="center" vertical="center" wrapText="1"/>
    </xf>
    <xf numFmtId="0" fontId="8" fillId="7" borderId="36" xfId="2" applyFont="1" applyFill="1" applyBorder="1" applyAlignment="1">
      <alignment horizontal="center" vertical="center" wrapText="1"/>
    </xf>
    <xf numFmtId="0" fontId="8" fillId="7" borderId="40" xfId="2" applyFont="1" applyFill="1" applyBorder="1" applyAlignment="1" applyProtection="1">
      <alignment horizontal="center" vertical="center"/>
      <protection locked="0"/>
    </xf>
    <xf numFmtId="0" fontId="8" fillId="7" borderId="49" xfId="2" applyFont="1" applyFill="1" applyBorder="1" applyAlignment="1" applyProtection="1">
      <alignment horizontal="center" vertical="center"/>
      <protection locked="0"/>
    </xf>
    <xf numFmtId="0" fontId="8" fillId="7" borderId="50" xfId="2" applyFont="1" applyFill="1" applyBorder="1" applyAlignment="1" applyProtection="1">
      <alignment horizontal="center" vertical="center"/>
      <protection locked="0"/>
    </xf>
    <xf numFmtId="3" fontId="8" fillId="7" borderId="40" xfId="2" applyNumberFormat="1" applyFont="1" applyFill="1" applyBorder="1" applyAlignment="1" applyProtection="1">
      <alignment horizontal="center" vertical="center"/>
      <protection locked="0"/>
    </xf>
    <xf numFmtId="3" fontId="8" fillId="7" borderId="50" xfId="2" applyNumberFormat="1" applyFont="1" applyFill="1" applyBorder="1" applyAlignment="1" applyProtection="1">
      <alignment horizontal="center" vertical="center"/>
      <protection locked="0"/>
    </xf>
    <xf numFmtId="3" fontId="8" fillId="7" borderId="49" xfId="2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5A5A5"/>
      <rgbColor rgb="FF993366"/>
      <rgbColor rgb="FFFFF2CC"/>
      <rgbColor rgb="FFDEEBF7"/>
      <rgbColor rgb="FF660066"/>
      <rgbColor rgb="FFFF8080"/>
      <rgbColor rgb="FF0563C1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E2F0D9"/>
      <rgbColor rgb="FFDDE8CB"/>
      <rgbColor rgb="FFA9D18E"/>
      <rgbColor rgb="FFFF99CC"/>
      <rgbColor rgb="FFD9D9D9"/>
      <rgbColor rgb="FFFBE5D6"/>
      <rgbColor rgb="FF3366FF"/>
      <rgbColor rgb="FF5B9BD5"/>
      <rgbColor rgb="FF99CC00"/>
      <rgbColor rgb="FFFFCC00"/>
      <rgbColor rgb="FFFF9900"/>
      <rgbColor rgb="FFFF6600"/>
      <rgbColor rgb="FF666699"/>
      <rgbColor rgb="FF999999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Stocks Nominal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 Life Planning'!$D$11:$AG$11</c:f>
              <c:numCache>
                <c:formatCode>General</c:formatCode>
                <c:ptCount val="30"/>
                <c:pt idx="0">
                  <c:v>2030</c:v>
                </c:pt>
                <c:pt idx="1">
                  <c:v>2031</c:v>
                </c:pt>
                <c:pt idx="2">
                  <c:v>2032</c:v>
                </c:pt>
                <c:pt idx="3">
                  <c:v>2033</c:v>
                </c:pt>
                <c:pt idx="4">
                  <c:v>2034</c:v>
                </c:pt>
                <c:pt idx="5">
                  <c:v>2035</c:v>
                </c:pt>
                <c:pt idx="6">
                  <c:v>2036</c:v>
                </c:pt>
                <c:pt idx="7">
                  <c:v>2037</c:v>
                </c:pt>
                <c:pt idx="8">
                  <c:v>2038</c:v>
                </c:pt>
                <c:pt idx="9">
                  <c:v>2039</c:v>
                </c:pt>
                <c:pt idx="10">
                  <c:v>2040</c:v>
                </c:pt>
                <c:pt idx="11">
                  <c:v>2041</c:v>
                </c:pt>
                <c:pt idx="12">
                  <c:v>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</c:v>
                </c:pt>
                <c:pt idx="17">
                  <c:v>2047</c:v>
                </c:pt>
                <c:pt idx="18">
                  <c:v>2048</c:v>
                </c:pt>
                <c:pt idx="19">
                  <c:v>2049</c:v>
                </c:pt>
                <c:pt idx="20">
                  <c:v>2050</c:v>
                </c:pt>
                <c:pt idx="21">
                  <c:v>2051</c:v>
                </c:pt>
                <c:pt idx="22">
                  <c:v>2052</c:v>
                </c:pt>
                <c:pt idx="23">
                  <c:v>2053</c:v>
                </c:pt>
                <c:pt idx="24">
                  <c:v>2054</c:v>
                </c:pt>
                <c:pt idx="25">
                  <c:v>2055</c:v>
                </c:pt>
                <c:pt idx="26">
                  <c:v>2056</c:v>
                </c:pt>
                <c:pt idx="27">
                  <c:v>2057</c:v>
                </c:pt>
                <c:pt idx="28">
                  <c:v>2058</c:v>
                </c:pt>
                <c:pt idx="29">
                  <c:v>2059</c:v>
                </c:pt>
              </c:numCache>
            </c:numRef>
          </c:cat>
          <c:val>
            <c:numRef>
              <c:f>'4. Life Planning'!$D$19:$AG$19</c:f>
              <c:numCache>
                <c:formatCode>0.0</c:formatCode>
                <c:ptCount val="30"/>
                <c:pt idx="0">
                  <c:v>10</c:v>
                </c:pt>
                <c:pt idx="1">
                  <c:v>50.900000000000006</c:v>
                </c:pt>
                <c:pt idx="2">
                  <c:v>96.28100000000002</c:v>
                </c:pt>
                <c:pt idx="3">
                  <c:v>146.56229000000002</c:v>
                </c:pt>
                <c:pt idx="4">
                  <c:v>186.28309610000002</c:v>
                </c:pt>
                <c:pt idx="5">
                  <c:v>230.10937874900006</c:v>
                </c:pt>
                <c:pt idx="6">
                  <c:v>261.86003086841004</c:v>
                </c:pt>
                <c:pt idx="7">
                  <c:v>296.68905783920695</c:v>
                </c:pt>
                <c:pt idx="8">
                  <c:v>334.87792972122838</c:v>
                </c:pt>
                <c:pt idx="9">
                  <c:v>376.7335372061616</c:v>
                </c:pt>
                <c:pt idx="10">
                  <c:v>422.59048124093931</c:v>
                </c:pt>
                <c:pt idx="11">
                  <c:v>472.81356875257143</c:v>
                </c:pt>
                <c:pt idx="12">
                  <c:v>527.80053302424938</c:v>
                </c:pt>
                <c:pt idx="13">
                  <c:v>587.98499894205736</c:v>
                </c:pt>
                <c:pt idx="14">
                  <c:v>653.83971515138046</c:v>
                </c:pt>
                <c:pt idx="15">
                  <c:v>725.88007714563355</c:v>
                </c:pt>
                <c:pt idx="16">
                  <c:v>804.66796747198191</c:v>
                </c:pt>
                <c:pt idx="17">
                  <c:v>890.81594159536644</c:v>
                </c:pt>
                <c:pt idx="18">
                  <c:v>984.99179053087369</c:v>
                </c:pt>
                <c:pt idx="19">
                  <c:v>1087.9235141544152</c:v>
                </c:pt>
                <c:pt idx="20">
                  <c:v>1200.4047421535906</c:v>
                </c:pt>
                <c:pt idx="21">
                  <c:v>1323.3006429071975</c:v>
                </c:pt>
                <c:pt idx="22">
                  <c:v>1368.8508557502278</c:v>
                </c:pt>
                <c:pt idx="23">
                  <c:v>1413.6864957402763</c:v>
                </c:pt>
                <c:pt idx="24">
                  <c:v>1358.2723504511321</c:v>
                </c:pt>
                <c:pt idx="25">
                  <c:v>1286.8463564736467</c:v>
                </c:pt>
                <c:pt idx="26">
                  <c:v>1332.8325706988885</c:v>
                </c:pt>
                <c:pt idx="27">
                  <c:v>1377.497319118175</c:v>
                </c:pt>
                <c:pt idx="28">
                  <c:v>1569.747536904455</c:v>
                </c:pt>
                <c:pt idx="29">
                  <c:v>1780.6657834728132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6-434D-B1CD-EAB2279DA992}"/>
            </c:ext>
          </c:extLst>
        </c:ser>
        <c:ser>
          <c:idx val="1"/>
          <c:order val="1"/>
          <c:tx>
            <c:v>Real Wealth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'4. Life Planning'!$D$27:$AG$27</c:f>
              <c:numCache>
                <c:formatCode>0.0</c:formatCode>
                <c:ptCount val="30"/>
                <c:pt idx="0">
                  <c:v>125</c:v>
                </c:pt>
                <c:pt idx="1">
                  <c:v>164.85294117647058</c:v>
                </c:pt>
                <c:pt idx="2">
                  <c:v>207.45242214532874</c:v>
                </c:pt>
                <c:pt idx="3">
                  <c:v>252.98642207748156</c:v>
                </c:pt>
                <c:pt idx="4">
                  <c:v>286.94993998515349</c:v>
                </c:pt>
                <c:pt idx="5">
                  <c:v>323.25429972796042</c:v>
                </c:pt>
                <c:pt idx="6">
                  <c:v>347.3537602627402</c:v>
                </c:pt>
                <c:pt idx="7">
                  <c:v>373.11610894780966</c:v>
                </c:pt>
                <c:pt idx="8">
                  <c:v>400.65496222873026</c:v>
                </c:pt>
                <c:pt idx="9">
                  <c:v>430.09173401589965</c:v>
                </c:pt>
                <c:pt idx="10">
                  <c:v>461.55617051694298</c:v>
                </c:pt>
                <c:pt idx="11">
                  <c:v>495.18692177061735</c:v>
                </c:pt>
                <c:pt idx="12">
                  <c:v>531.13215240076579</c:v>
                </c:pt>
                <c:pt idx="13">
                  <c:v>569.55019428169862</c:v>
                </c:pt>
                <c:pt idx="14">
                  <c:v>610.6102439910768</c:v>
                </c:pt>
                <c:pt idx="15">
                  <c:v>654.49310812374779</c:v>
                </c:pt>
                <c:pt idx="16">
                  <c:v>701.39199975089923</c:v>
                </c:pt>
                <c:pt idx="17">
                  <c:v>751.51338953429729</c:v>
                </c:pt>
                <c:pt idx="18">
                  <c:v>805.07791524622951</c:v>
                </c:pt>
                <c:pt idx="19">
                  <c:v>862.32135370316962</c:v>
                </c:pt>
                <c:pt idx="20">
                  <c:v>923.49565939623437</c:v>
                </c:pt>
                <c:pt idx="21">
                  <c:v>988.87007439543675</c:v>
                </c:pt>
                <c:pt idx="22">
                  <c:v>1001.3554225137335</c:v>
                </c:pt>
                <c:pt idx="23">
                  <c:v>1012.5783410507062</c:v>
                </c:pt>
                <c:pt idx="24">
                  <c:v>960.7098913068437</c:v>
                </c:pt>
                <c:pt idx="25">
                  <c:v>900.78832797802932</c:v>
                </c:pt>
                <c:pt idx="26">
                  <c:v>913.07290895666858</c:v>
                </c:pt>
                <c:pt idx="27">
                  <c:v>923.81846711739252</c:v>
                </c:pt>
                <c:pt idx="28">
                  <c:v>1018.6248973019584</c:v>
                </c:pt>
                <c:pt idx="29">
                  <c:v>1119.9351730169521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6-434D-B1CD-EAB2279DA992}"/>
            </c:ext>
          </c:extLst>
        </c:ser>
        <c:ser>
          <c:idx val="2"/>
          <c:order val="2"/>
          <c:tx>
            <c:v>Nominal Wealth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'4. Life Planning'!$D$26:$AG$26</c:f>
              <c:numCache>
                <c:formatCode>0.0</c:formatCode>
                <c:ptCount val="30"/>
                <c:pt idx="0">
                  <c:v>125</c:v>
                </c:pt>
                <c:pt idx="1">
                  <c:v>168.15</c:v>
                </c:pt>
                <c:pt idx="2">
                  <c:v>215.83350000000002</c:v>
                </c:pt>
                <c:pt idx="3">
                  <c:v>268.47121500000003</c:v>
                </c:pt>
                <c:pt idx="4">
                  <c:v>310.60384335000003</c:v>
                </c:pt>
                <c:pt idx="5">
                  <c:v>356.89886688150011</c:v>
                </c:pt>
                <c:pt idx="6">
                  <c:v>391.17675099793502</c:v>
                </c:pt>
                <c:pt idx="7">
                  <c:v>428.59312671741623</c:v>
                </c:pt>
                <c:pt idx="8">
                  <c:v>469.43114504040028</c:v>
                </c:pt>
                <c:pt idx="9">
                  <c:v>513.99943514828533</c:v>
                </c:pt>
                <c:pt idx="10">
                  <c:v>562.63439637430224</c:v>
                </c:pt>
                <c:pt idx="11">
                  <c:v>615.70269638261823</c:v>
                </c:pt>
                <c:pt idx="12">
                  <c:v>673.60399411061462</c:v>
                </c:pt>
                <c:pt idx="13">
                  <c:v>736.77390769905321</c:v>
                </c:pt>
                <c:pt idx="14">
                  <c:v>805.68724945486474</c:v>
                </c:pt>
                <c:pt idx="15">
                  <c:v>880.86155187510349</c:v>
                </c:pt>
                <c:pt idx="16">
                  <c:v>962.86091092295294</c:v>
                </c:pt>
                <c:pt idx="17">
                  <c:v>1052.300175103614</c:v>
                </c:pt>
                <c:pt idx="18">
                  <c:v>1149.8495114569564</c:v>
                </c:pt>
                <c:pt idx="19">
                  <c:v>1256.2393823840732</c:v>
                </c:pt>
                <c:pt idx="20">
                  <c:v>1372.2659702771482</c:v>
                </c:pt>
                <c:pt idx="21">
                  <c:v>1498.7970902489978</c:v>
                </c:pt>
                <c:pt idx="22">
                  <c:v>1548.0751264274245</c:v>
                </c:pt>
                <c:pt idx="23">
                  <c:v>1596.7340409390051</c:v>
                </c:pt>
                <c:pt idx="24">
                  <c:v>1545.2415751172232</c:v>
                </c:pt>
                <c:pt idx="25">
                  <c:v>1477.8387306246168</c:v>
                </c:pt>
                <c:pt idx="26">
                  <c:v>1527.9527455740129</c:v>
                </c:pt>
                <c:pt idx="27">
                  <c:v>1576.8532483939935</c:v>
                </c:pt>
                <c:pt idx="28">
                  <c:v>1773.4506032141412</c:v>
                </c:pt>
                <c:pt idx="29">
                  <c:v>1988.8309304794618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6-434D-B1CD-EAB2279DA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84384"/>
        <c:axId val="116486304"/>
      </c:lineChart>
      <c:catAx>
        <c:axId val="11648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86304"/>
        <c:crosses val="autoZero"/>
        <c:auto val="1"/>
        <c:lblAlgn val="ctr"/>
        <c:lblOffset val="100"/>
        <c:tickLblSkip val="5"/>
        <c:tickMarkSkip val="10"/>
        <c:noMultiLvlLbl val="0"/>
      </c:catAx>
      <c:valAx>
        <c:axId val="11648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$1000's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v>Expenditures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 Life Planning'!$D$11:$AG$11</c:f>
              <c:numCache>
                <c:formatCode>General</c:formatCode>
                <c:ptCount val="30"/>
                <c:pt idx="0">
                  <c:v>2030</c:v>
                </c:pt>
                <c:pt idx="1">
                  <c:v>2031</c:v>
                </c:pt>
                <c:pt idx="2">
                  <c:v>2032</c:v>
                </c:pt>
                <c:pt idx="3">
                  <c:v>2033</c:v>
                </c:pt>
                <c:pt idx="4">
                  <c:v>2034</c:v>
                </c:pt>
                <c:pt idx="5">
                  <c:v>2035</c:v>
                </c:pt>
                <c:pt idx="6">
                  <c:v>2036</c:v>
                </c:pt>
                <c:pt idx="7">
                  <c:v>2037</c:v>
                </c:pt>
                <c:pt idx="8">
                  <c:v>2038</c:v>
                </c:pt>
                <c:pt idx="9">
                  <c:v>2039</c:v>
                </c:pt>
                <c:pt idx="10">
                  <c:v>2040</c:v>
                </c:pt>
                <c:pt idx="11">
                  <c:v>2041</c:v>
                </c:pt>
                <c:pt idx="12">
                  <c:v>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</c:v>
                </c:pt>
                <c:pt idx="17">
                  <c:v>2047</c:v>
                </c:pt>
                <c:pt idx="18">
                  <c:v>2048</c:v>
                </c:pt>
                <c:pt idx="19">
                  <c:v>2049</c:v>
                </c:pt>
                <c:pt idx="20">
                  <c:v>2050</c:v>
                </c:pt>
                <c:pt idx="21">
                  <c:v>2051</c:v>
                </c:pt>
                <c:pt idx="22">
                  <c:v>2052</c:v>
                </c:pt>
                <c:pt idx="23">
                  <c:v>2053</c:v>
                </c:pt>
                <c:pt idx="24">
                  <c:v>2054</c:v>
                </c:pt>
                <c:pt idx="25">
                  <c:v>2055</c:v>
                </c:pt>
                <c:pt idx="26">
                  <c:v>2056</c:v>
                </c:pt>
                <c:pt idx="27">
                  <c:v>2057</c:v>
                </c:pt>
                <c:pt idx="28">
                  <c:v>2058</c:v>
                </c:pt>
                <c:pt idx="29">
                  <c:v>2059</c:v>
                </c:pt>
              </c:numCache>
            </c:numRef>
          </c:cat>
          <c:val>
            <c:numRef>
              <c:f>'4. Life Planning'!$D$25:$AG$25</c:f>
              <c:numCache>
                <c:formatCode>0.0</c:formatCode>
                <c:ptCount val="30"/>
                <c:pt idx="0">
                  <c:v>40</c:v>
                </c:pt>
                <c:pt idx="1">
                  <c:v>40.799999999999997</c:v>
                </c:pt>
                <c:pt idx="2">
                  <c:v>41.616</c:v>
                </c:pt>
                <c:pt idx="3">
                  <c:v>58.366439999999997</c:v>
                </c:pt>
                <c:pt idx="4">
                  <c:v>59.533768799999997</c:v>
                </c:pt>
                <c:pt idx="5">
                  <c:v>77.285656224000007</c:v>
                </c:pt>
                <c:pt idx="6">
                  <c:v>78.83136934848001</c:v>
                </c:pt>
                <c:pt idx="7">
                  <c:v>80.407996735449615</c:v>
                </c:pt>
                <c:pt idx="8">
                  <c:v>82.016156670158608</c:v>
                </c:pt>
                <c:pt idx="9">
                  <c:v>83.65647980356178</c:v>
                </c:pt>
                <c:pt idx="10">
                  <c:v>85.329609399633014</c:v>
                </c:pt>
                <c:pt idx="11">
                  <c:v>87.036201587625669</c:v>
                </c:pt>
                <c:pt idx="12">
                  <c:v>88.776925619378176</c:v>
                </c:pt>
                <c:pt idx="13">
                  <c:v>90.552464131765745</c:v>
                </c:pt>
                <c:pt idx="14">
                  <c:v>92.363513414401069</c:v>
                </c:pt>
                <c:pt idx="15">
                  <c:v>94.210783682689083</c:v>
                </c:pt>
                <c:pt idx="16">
                  <c:v>96.094999356342868</c:v>
                </c:pt>
                <c:pt idx="17">
                  <c:v>98.016899343469731</c:v>
                </c:pt>
                <c:pt idx="18">
                  <c:v>99.977237330339136</c:v>
                </c:pt>
                <c:pt idx="19">
                  <c:v>101.97678207694591</c:v>
                </c:pt>
                <c:pt idx="20">
                  <c:v>104.01631771848486</c:v>
                </c:pt>
                <c:pt idx="21">
                  <c:v>194.80015253045147</c:v>
                </c:pt>
                <c:pt idx="22">
                  <c:v>202.0393106895425</c:v>
                </c:pt>
                <c:pt idx="23">
                  <c:v>308.79787104108095</c:v>
                </c:pt>
                <c:pt idx="24">
                  <c:v>322.34548547610535</c:v>
                </c:pt>
                <c:pt idx="25">
                  <c:v>201.0784374145648</c:v>
                </c:pt>
                <c:pt idx="26">
                  <c:v>209.16363209193531</c:v>
                </c:pt>
                <c:pt idx="27">
                  <c:v>68.275459065644228</c:v>
                </c:pt>
                <c:pt idx="28">
                  <c:v>69.640968246957129</c:v>
                </c:pt>
                <c:pt idx="29">
                  <c:v>71.033787611896258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C-4E2E-9FDB-D59FC3746CD0}"/>
            </c:ext>
          </c:extLst>
        </c:ser>
        <c:ser>
          <c:idx val="0"/>
          <c:order val="1"/>
          <c:tx>
            <c:v>Income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 Life Planning'!$D$11:$AG$11</c:f>
              <c:numCache>
                <c:formatCode>General</c:formatCode>
                <c:ptCount val="30"/>
                <c:pt idx="0">
                  <c:v>2030</c:v>
                </c:pt>
                <c:pt idx="1">
                  <c:v>2031</c:v>
                </c:pt>
                <c:pt idx="2">
                  <c:v>2032</c:v>
                </c:pt>
                <c:pt idx="3">
                  <c:v>2033</c:v>
                </c:pt>
                <c:pt idx="4">
                  <c:v>2034</c:v>
                </c:pt>
                <c:pt idx="5">
                  <c:v>2035</c:v>
                </c:pt>
                <c:pt idx="6">
                  <c:v>2036</c:v>
                </c:pt>
                <c:pt idx="7">
                  <c:v>2037</c:v>
                </c:pt>
                <c:pt idx="8">
                  <c:v>2038</c:v>
                </c:pt>
                <c:pt idx="9">
                  <c:v>2039</c:v>
                </c:pt>
                <c:pt idx="10">
                  <c:v>2040</c:v>
                </c:pt>
                <c:pt idx="11">
                  <c:v>2041</c:v>
                </c:pt>
                <c:pt idx="12">
                  <c:v>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</c:v>
                </c:pt>
                <c:pt idx="17">
                  <c:v>2047</c:v>
                </c:pt>
                <c:pt idx="18">
                  <c:v>2048</c:v>
                </c:pt>
                <c:pt idx="19">
                  <c:v>2049</c:v>
                </c:pt>
                <c:pt idx="20">
                  <c:v>2050</c:v>
                </c:pt>
                <c:pt idx="21">
                  <c:v>2051</c:v>
                </c:pt>
                <c:pt idx="22">
                  <c:v>2052</c:v>
                </c:pt>
                <c:pt idx="23">
                  <c:v>2053</c:v>
                </c:pt>
                <c:pt idx="24">
                  <c:v>2054</c:v>
                </c:pt>
                <c:pt idx="25">
                  <c:v>2055</c:v>
                </c:pt>
                <c:pt idx="26">
                  <c:v>2056</c:v>
                </c:pt>
                <c:pt idx="27">
                  <c:v>2057</c:v>
                </c:pt>
                <c:pt idx="28">
                  <c:v>2058</c:v>
                </c:pt>
                <c:pt idx="29">
                  <c:v>2059</c:v>
                </c:pt>
              </c:numCache>
            </c:numRef>
          </c:cat>
          <c:val>
            <c:numRef>
              <c:f>'4. Life Planning'!$D$17:$AG$17</c:f>
              <c:numCache>
                <c:formatCode>0.0</c:formatCode>
                <c:ptCount val="30"/>
                <c:pt idx="0">
                  <c:v>80</c:v>
                </c:pt>
                <c:pt idx="1">
                  <c:v>81.599999999999994</c:v>
                </c:pt>
                <c:pt idx="2">
                  <c:v>83.231999999999999</c:v>
                </c:pt>
                <c:pt idx="3">
                  <c:v>84.896640000000005</c:v>
                </c:pt>
                <c:pt idx="4">
                  <c:v>86.594572800000009</c:v>
                </c:pt>
                <c:pt idx="5">
                  <c:v>88.326464256000008</c:v>
                </c:pt>
                <c:pt idx="6">
                  <c:v>90.092993541120009</c:v>
                </c:pt>
                <c:pt idx="7">
                  <c:v>91.894853411942407</c:v>
                </c:pt>
                <c:pt idx="8">
                  <c:v>93.732750480181252</c:v>
                </c:pt>
                <c:pt idx="9">
                  <c:v>95.607405489784881</c:v>
                </c:pt>
                <c:pt idx="10">
                  <c:v>97.519553599580576</c:v>
                </c:pt>
                <c:pt idx="11">
                  <c:v>99.469944671572193</c:v>
                </c:pt>
                <c:pt idx="12">
                  <c:v>101.45934356500364</c:v>
                </c:pt>
                <c:pt idx="13">
                  <c:v>103.48853043630371</c:v>
                </c:pt>
                <c:pt idx="14">
                  <c:v>105.55830104502978</c:v>
                </c:pt>
                <c:pt idx="15">
                  <c:v>107.66946706593038</c:v>
                </c:pt>
                <c:pt idx="16">
                  <c:v>109.82285640724899</c:v>
                </c:pt>
                <c:pt idx="17">
                  <c:v>112.01931353539398</c:v>
                </c:pt>
                <c:pt idx="18">
                  <c:v>114.25969980610186</c:v>
                </c:pt>
                <c:pt idx="19">
                  <c:v>116.5448938022239</c:v>
                </c:pt>
                <c:pt idx="20">
                  <c:v>118.87579167826837</c:v>
                </c:pt>
                <c:pt idx="21">
                  <c:v>121.25330751183374</c:v>
                </c:pt>
                <c:pt idx="22">
                  <c:v>123.67837366207041</c:v>
                </c:pt>
                <c:pt idx="23">
                  <c:v>126.15194113531183</c:v>
                </c:pt>
                <c:pt idx="24">
                  <c:v>128.67497995801807</c:v>
                </c:pt>
                <c:pt idx="25">
                  <c:v>131.24847955717843</c:v>
                </c:pt>
                <c:pt idx="26">
                  <c:v>133.87344914832201</c:v>
                </c:pt>
                <c:pt idx="27">
                  <c:v>136.55091813128846</c:v>
                </c:pt>
                <c:pt idx="28">
                  <c:v>139.28193649391423</c:v>
                </c:pt>
                <c:pt idx="29">
                  <c:v>142.06757522379252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C-4E2E-9FDB-D59FC3746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84384"/>
        <c:axId val="116486304"/>
      </c:lineChart>
      <c:catAx>
        <c:axId val="11648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863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648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$1000's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50425</xdr:colOff>
      <xdr:row>27</xdr:row>
      <xdr:rowOff>135591</xdr:rowOff>
    </xdr:from>
    <xdr:to>
      <xdr:col>11</xdr:col>
      <xdr:colOff>151278</xdr:colOff>
      <xdr:row>42</xdr:row>
      <xdr:rowOff>21291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8679D8-26E4-42E9-BC0D-C22915E39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56029</xdr:colOff>
      <xdr:row>42</xdr:row>
      <xdr:rowOff>100852</xdr:rowOff>
    </xdr:from>
    <xdr:to>
      <xdr:col>11</xdr:col>
      <xdr:colOff>156882</xdr:colOff>
      <xdr:row>56</xdr:row>
      <xdr:rowOff>177052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137DCD-94E3-41F1-B0FD-87CED9EF1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692D-64E0-44D1-A4FE-DB0AF6784004}">
  <dimension ref="B1:G29"/>
  <sheetViews>
    <sheetView showGridLines="0" workbookViewId="0">
      <selection activeCell="E38" sqref="E38"/>
    </sheetView>
  </sheetViews>
  <sheetFormatPr defaultRowHeight="15"/>
  <cols>
    <col min="3" max="3" width="65.5703125" customWidth="1"/>
    <col min="5" max="5" width="33.42578125" customWidth="1"/>
  </cols>
  <sheetData>
    <row r="1" spans="2:7" ht="15.75" thickBot="1"/>
    <row r="2" spans="2:7" ht="15.75" customHeight="1" thickBot="1">
      <c r="B2" s="292" t="s">
        <v>162</v>
      </c>
      <c r="C2" s="293" t="s">
        <v>163</v>
      </c>
      <c r="D2" s="29"/>
      <c r="E2" s="34" t="s">
        <v>32</v>
      </c>
      <c r="G2" s="32" t="s">
        <v>209</v>
      </c>
    </row>
    <row r="3" spans="2:7">
      <c r="B3" s="1">
        <v>1</v>
      </c>
      <c r="C3" s="30" t="s">
        <v>164</v>
      </c>
      <c r="D3" s="29"/>
      <c r="E3" s="35" t="s">
        <v>159</v>
      </c>
    </row>
    <row r="4" spans="2:7">
      <c r="B4" s="1">
        <v>2</v>
      </c>
      <c r="C4" s="30" t="s">
        <v>165</v>
      </c>
      <c r="D4" s="29"/>
      <c r="E4" s="36" t="s">
        <v>158</v>
      </c>
    </row>
    <row r="5" spans="2:7">
      <c r="B5" s="1">
        <v>3</v>
      </c>
      <c r="C5" s="30" t="s">
        <v>166</v>
      </c>
      <c r="D5" s="29"/>
      <c r="E5" s="37" t="s">
        <v>111</v>
      </c>
    </row>
    <row r="6" spans="2:7" ht="15.75" thickBot="1">
      <c r="B6" s="20">
        <v>4</v>
      </c>
      <c r="C6" s="31" t="s">
        <v>167</v>
      </c>
      <c r="D6" s="33"/>
      <c r="E6" s="38" t="s">
        <v>161</v>
      </c>
    </row>
    <row r="7" spans="2:7" ht="15.75" thickBot="1">
      <c r="B7" s="291"/>
      <c r="C7" s="291"/>
      <c r="D7" s="33"/>
      <c r="E7" s="39" t="s">
        <v>160</v>
      </c>
    </row>
    <row r="8" spans="2:7" ht="15.75" thickBot="1">
      <c r="D8" s="33"/>
    </row>
    <row r="9" spans="2:7" ht="15.75" thickBot="1">
      <c r="C9" s="298" t="s">
        <v>8</v>
      </c>
      <c r="D9" s="33"/>
    </row>
    <row r="10" spans="2:7" ht="30">
      <c r="C10" s="295" t="s">
        <v>203</v>
      </c>
    </row>
    <row r="11" spans="2:7" ht="60">
      <c r="C11" s="296" t="s">
        <v>205</v>
      </c>
    </row>
    <row r="12" spans="2:7" ht="15.75" thickBot="1">
      <c r="C12" s="297" t="s">
        <v>204</v>
      </c>
    </row>
    <row r="16" spans="2:7">
      <c r="B16" s="294"/>
    </row>
    <row r="29" spans="3:3">
      <c r="C29" s="2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4"/>
  <sheetViews>
    <sheetView showGridLines="0" zoomScaleNormal="100" workbookViewId="0">
      <selection activeCell="D27" sqref="D27"/>
    </sheetView>
  </sheetViews>
  <sheetFormatPr defaultColWidth="8.7109375" defaultRowHeight="15"/>
  <cols>
    <col min="1" max="1" width="8.7109375" style="2"/>
    <col min="2" max="2" width="25.28515625" style="2" customWidth="1"/>
    <col min="3" max="3" width="22.42578125" style="2" customWidth="1"/>
    <col min="4" max="4" width="16.42578125" style="2" customWidth="1"/>
    <col min="5" max="5" width="16" style="2" customWidth="1"/>
    <col min="6" max="6" width="17.140625" style="2" customWidth="1"/>
    <col min="7" max="7" width="15.28515625" style="2" customWidth="1"/>
    <col min="8" max="8" width="18.140625" style="2" customWidth="1"/>
    <col min="9" max="9" width="23.7109375" style="2" customWidth="1"/>
    <col min="10" max="10" width="14.85546875" style="2" customWidth="1"/>
    <col min="11" max="11" width="12.28515625" style="2" bestFit="1" customWidth="1"/>
    <col min="12" max="12" width="22.28515625" style="2" customWidth="1"/>
    <col min="13" max="13" width="13.5703125" style="2" customWidth="1"/>
    <col min="14" max="14" width="10.85546875" style="2" customWidth="1"/>
    <col min="15" max="16384" width="8.7109375" style="2"/>
  </cols>
  <sheetData>
    <row r="1" spans="2:22" ht="15.75" thickBot="1"/>
    <row r="2" spans="2:22" ht="15.75" thickBot="1">
      <c r="B2" s="181" t="s">
        <v>117</v>
      </c>
      <c r="E2" s="18"/>
    </row>
    <row r="3" spans="2:22" ht="15.75" thickBot="1">
      <c r="B3" s="182" t="s">
        <v>4</v>
      </c>
      <c r="C3" s="183" t="s">
        <v>5</v>
      </c>
      <c r="D3" s="183" t="s">
        <v>6</v>
      </c>
      <c r="E3" s="183" t="s">
        <v>91</v>
      </c>
      <c r="F3" s="184" t="s">
        <v>8</v>
      </c>
      <c r="G3" s="185"/>
      <c r="J3" s="185"/>
      <c r="K3" s="185"/>
    </row>
    <row r="4" spans="2:22" s="185" customFormat="1">
      <c r="B4" s="186" t="s">
        <v>108</v>
      </c>
      <c r="C4" s="187" t="s">
        <v>107</v>
      </c>
      <c r="D4" s="187" t="s">
        <v>9</v>
      </c>
      <c r="E4" s="188">
        <v>5</v>
      </c>
      <c r="F4" s="189"/>
      <c r="G4" s="190" t="s">
        <v>90</v>
      </c>
      <c r="I4" s="2"/>
      <c r="J4" s="18"/>
      <c r="K4" s="191"/>
      <c r="V4" s="192"/>
    </row>
    <row r="5" spans="2:22" s="185" customFormat="1">
      <c r="B5" s="21" t="s">
        <v>109</v>
      </c>
      <c r="C5" s="175" t="s">
        <v>10</v>
      </c>
      <c r="D5" s="175" t="s">
        <v>11</v>
      </c>
      <c r="E5" s="193">
        <v>10</v>
      </c>
      <c r="F5" s="176" t="s">
        <v>116</v>
      </c>
      <c r="I5" s="2"/>
      <c r="J5" s="2"/>
      <c r="K5" s="194"/>
      <c r="M5" s="195"/>
      <c r="V5" s="192"/>
    </row>
    <row r="6" spans="2:22" s="185" customFormat="1">
      <c r="B6" s="21" t="s">
        <v>2</v>
      </c>
      <c r="C6" s="175" t="s">
        <v>104</v>
      </c>
      <c r="D6" s="175" t="s">
        <v>12</v>
      </c>
      <c r="E6" s="193">
        <v>3</v>
      </c>
      <c r="F6" s="176" t="s">
        <v>17</v>
      </c>
      <c r="G6" s="196"/>
      <c r="I6" s="2"/>
      <c r="J6" s="2"/>
      <c r="K6" s="194"/>
      <c r="V6" s="192"/>
    </row>
    <row r="7" spans="2:22">
      <c r="B7" s="21"/>
      <c r="C7" s="175" t="s">
        <v>105</v>
      </c>
      <c r="D7" s="175" t="s">
        <v>102</v>
      </c>
      <c r="E7" s="193">
        <v>12</v>
      </c>
      <c r="F7" s="176" t="s">
        <v>17</v>
      </c>
      <c r="H7" s="185"/>
      <c r="K7" s="191"/>
    </row>
    <row r="8" spans="2:22">
      <c r="B8" s="21"/>
      <c r="C8" s="175" t="s">
        <v>106</v>
      </c>
      <c r="D8" s="175" t="s">
        <v>103</v>
      </c>
      <c r="E8" s="193">
        <v>5</v>
      </c>
      <c r="F8" s="176" t="s">
        <v>17</v>
      </c>
      <c r="H8" s="185"/>
      <c r="K8" s="191"/>
    </row>
    <row r="9" spans="2:22" ht="15.75" thickBot="1">
      <c r="B9" s="197" t="s">
        <v>92</v>
      </c>
      <c r="C9" s="178" t="s">
        <v>13</v>
      </c>
      <c r="D9" s="178"/>
      <c r="E9" s="198">
        <v>6.5</v>
      </c>
      <c r="F9" s="199"/>
      <c r="G9" s="194" t="s">
        <v>90</v>
      </c>
      <c r="I9" s="18"/>
      <c r="J9" s="194"/>
    </row>
    <row r="10" spans="2:22" ht="15.75" thickBot="1">
      <c r="D10" s="200" t="s">
        <v>31</v>
      </c>
      <c r="E10" s="201">
        <f>SUM(E4:E9)</f>
        <v>41.5</v>
      </c>
      <c r="F10" s="18"/>
      <c r="G10" s="18"/>
    </row>
    <row r="11" spans="2:22" ht="15.75" thickBot="1"/>
    <row r="12" spans="2:22" ht="15.75" thickBot="1">
      <c r="B12" s="202" t="s">
        <v>118</v>
      </c>
      <c r="C12" s="182" t="s">
        <v>0</v>
      </c>
      <c r="D12" s="184" t="s">
        <v>7</v>
      </c>
      <c r="E12" s="18"/>
    </row>
    <row r="13" spans="2:22">
      <c r="C13" s="186" t="s">
        <v>14</v>
      </c>
      <c r="D13" s="203">
        <v>50000</v>
      </c>
      <c r="E13" s="18"/>
    </row>
    <row r="14" spans="2:22">
      <c r="C14" s="21" t="s">
        <v>3</v>
      </c>
      <c r="D14" s="22">
        <v>5000</v>
      </c>
    </row>
    <row r="15" spans="2:22">
      <c r="C15" s="21" t="s">
        <v>11</v>
      </c>
      <c r="D15" s="22">
        <f>D13*0.15</f>
        <v>7500</v>
      </c>
      <c r="E15" s="19"/>
      <c r="F15" s="3"/>
      <c r="G15" s="3"/>
      <c r="H15" s="3"/>
      <c r="I15" s="3"/>
    </row>
    <row r="16" spans="2:22" ht="30.75" thickBot="1">
      <c r="C16" s="15" t="s">
        <v>183</v>
      </c>
      <c r="D16" s="259">
        <f>(D13-D14-D15)/26*2</f>
        <v>2884.6153846153848</v>
      </c>
      <c r="E16" s="258" t="s">
        <v>184</v>
      </c>
      <c r="F16" s="3"/>
      <c r="G16" s="3"/>
      <c r="H16" s="3"/>
      <c r="I16" s="3"/>
    </row>
    <row r="17" spans="2:12" ht="45.75" thickBot="1">
      <c r="C17" s="4"/>
      <c r="D17" s="3"/>
      <c r="E17" s="3"/>
      <c r="F17" s="23" t="s">
        <v>112</v>
      </c>
      <c r="G17" s="24" t="s">
        <v>113</v>
      </c>
      <c r="H17" s="24" t="s">
        <v>114</v>
      </c>
      <c r="I17" s="24" t="s">
        <v>200</v>
      </c>
    </row>
    <row r="18" spans="2:12" ht="30.75" thickBot="1">
      <c r="C18" s="6" t="s">
        <v>186</v>
      </c>
      <c r="D18" s="3"/>
      <c r="E18" s="5"/>
      <c r="F18" s="13" t="s">
        <v>115</v>
      </c>
      <c r="G18" s="3"/>
      <c r="H18" s="3"/>
      <c r="I18" s="3"/>
    </row>
    <row r="19" spans="2:12" ht="30.75" thickBot="1">
      <c r="C19" s="11" t="s">
        <v>93</v>
      </c>
      <c r="D19" s="12" t="s">
        <v>94</v>
      </c>
      <c r="E19" s="3"/>
      <c r="F19" s="7" t="s">
        <v>95</v>
      </c>
      <c r="G19" s="14" t="s">
        <v>96</v>
      </c>
      <c r="H19" s="14" t="s">
        <v>94</v>
      </c>
      <c r="I19" s="8" t="s">
        <v>201</v>
      </c>
    </row>
    <row r="20" spans="2:12">
      <c r="C20" s="9" t="s">
        <v>15</v>
      </c>
      <c r="D20" s="25">
        <v>1000</v>
      </c>
      <c r="E20" s="3"/>
      <c r="F20" s="26">
        <v>0.25</v>
      </c>
      <c r="G20" s="40">
        <f>F20/$F$25</f>
        <v>0.41666666666666663</v>
      </c>
      <c r="H20" s="41">
        <f t="shared" ref="H20:H24" si="0">G20*$D$16</f>
        <v>1201.9230769230769</v>
      </c>
      <c r="I20" s="42">
        <f t="shared" ref="I20:I24" si="1">D20-H20</f>
        <v>-201.92307692307691</v>
      </c>
    </row>
    <row r="21" spans="2:12">
      <c r="C21" s="9" t="s">
        <v>97</v>
      </c>
      <c r="D21" s="25">
        <v>150</v>
      </c>
      <c r="E21" s="3"/>
      <c r="F21" s="26">
        <v>0.04</v>
      </c>
      <c r="G21" s="40">
        <f>F21/$F$25</f>
        <v>6.6666666666666652E-2</v>
      </c>
      <c r="H21" s="41">
        <f t="shared" si="0"/>
        <v>192.30769230769226</v>
      </c>
      <c r="I21" s="42">
        <f t="shared" si="1"/>
        <v>-42.307692307692264</v>
      </c>
    </row>
    <row r="22" spans="2:12">
      <c r="C22" s="9" t="s">
        <v>98</v>
      </c>
      <c r="D22" s="25">
        <v>300</v>
      </c>
      <c r="E22" s="3"/>
      <c r="F22" s="26">
        <v>0.06</v>
      </c>
      <c r="G22" s="40">
        <f>F22/$F$25</f>
        <v>9.9999999999999978E-2</v>
      </c>
      <c r="H22" s="41">
        <f t="shared" si="0"/>
        <v>288.4615384615384</v>
      </c>
      <c r="I22" s="42">
        <f t="shared" si="1"/>
        <v>11.538461538461604</v>
      </c>
    </row>
    <row r="23" spans="2:12">
      <c r="C23" s="9" t="s">
        <v>99</v>
      </c>
      <c r="D23" s="25">
        <v>300</v>
      </c>
      <c r="E23" s="3"/>
      <c r="F23" s="26">
        <v>0.2</v>
      </c>
      <c r="G23" s="40">
        <f>F23/$F$25</f>
        <v>0.33333333333333331</v>
      </c>
      <c r="H23" s="41">
        <f t="shared" si="0"/>
        <v>961.53846153846155</v>
      </c>
      <c r="I23" s="42">
        <f t="shared" si="1"/>
        <v>-661.53846153846155</v>
      </c>
    </row>
    <row r="24" spans="2:12" ht="15.75" thickBot="1">
      <c r="C24" s="27" t="s">
        <v>100</v>
      </c>
      <c r="D24" s="28">
        <v>150</v>
      </c>
      <c r="E24" s="3"/>
      <c r="F24" s="26">
        <v>0.05</v>
      </c>
      <c r="G24" s="40">
        <f>F24/$F$25</f>
        <v>8.3333333333333329E-2</v>
      </c>
      <c r="H24" s="41">
        <f t="shared" si="0"/>
        <v>240.38461538461539</v>
      </c>
      <c r="I24" s="42">
        <f t="shared" si="1"/>
        <v>-90.384615384615387</v>
      </c>
    </row>
    <row r="25" spans="2:12">
      <c r="C25" s="7" t="s">
        <v>31</v>
      </c>
      <c r="D25" s="257">
        <f>SUM(D20:D24)</f>
        <v>1900</v>
      </c>
      <c r="E25" s="3"/>
      <c r="F25" s="26">
        <f>SUM(F19:F24)</f>
        <v>0.60000000000000009</v>
      </c>
      <c r="G25" s="43">
        <f>SUM(G19:G24)</f>
        <v>0.99999999999999989</v>
      </c>
      <c r="H25" s="44">
        <f>SUM(H19:H24)</f>
        <v>2884.6153846153843</v>
      </c>
      <c r="I25" s="44">
        <f>SUM(I19:I24)</f>
        <v>-984.61538461538441</v>
      </c>
    </row>
    <row r="26" spans="2:12" ht="15.75" thickBot="1">
      <c r="C26" s="10" t="s">
        <v>185</v>
      </c>
      <c r="D26" s="260">
        <f>D16-D25</f>
        <v>984.61538461538476</v>
      </c>
      <c r="E26" s="3"/>
      <c r="F26" s="15"/>
      <c r="G26" s="16"/>
      <c r="H26" s="16"/>
      <c r="I26" s="17"/>
    </row>
    <row r="27" spans="2:12" ht="15.75" thickBot="1"/>
    <row r="28" spans="2:12" ht="15.75" thickBot="1">
      <c r="B28" s="204" t="s">
        <v>119</v>
      </c>
    </row>
    <row r="29" spans="2:12" s="173" customFormat="1" ht="15.75" thickBot="1">
      <c r="D29" s="205" t="s">
        <v>199</v>
      </c>
      <c r="E29" s="2"/>
      <c r="K29" s="206" t="s">
        <v>122</v>
      </c>
    </row>
    <row r="30" spans="2:12" s="173" customFormat="1" ht="15.75" thickBot="1">
      <c r="C30" s="267" t="s">
        <v>101</v>
      </c>
      <c r="D30" s="268" t="s">
        <v>182</v>
      </c>
      <c r="E30" s="268" t="s">
        <v>110</v>
      </c>
      <c r="F30" s="268" t="s">
        <v>120</v>
      </c>
      <c r="G30" s="183" t="s">
        <v>98</v>
      </c>
      <c r="H30" s="183" t="s">
        <v>99</v>
      </c>
      <c r="I30" s="183" t="s">
        <v>87</v>
      </c>
      <c r="J30" s="268" t="s">
        <v>121</v>
      </c>
      <c r="K30" s="268" t="s">
        <v>181</v>
      </c>
      <c r="L30" s="269" t="s">
        <v>123</v>
      </c>
    </row>
    <row r="31" spans="2:12" s="173" customFormat="1">
      <c r="C31" s="261" t="s">
        <v>25</v>
      </c>
      <c r="D31" s="262">
        <f t="shared" ref="D31:D42" si="2">$D$16</f>
        <v>2884.6153846153848</v>
      </c>
      <c r="E31" s="263">
        <v>4000</v>
      </c>
      <c r="F31" s="263">
        <f>$D$20+$D$21</f>
        <v>1150</v>
      </c>
      <c r="G31" s="263">
        <f>$D$22</f>
        <v>300</v>
      </c>
      <c r="H31" s="263">
        <f>$D$23</f>
        <v>300</v>
      </c>
      <c r="I31" s="263">
        <f>$D$24</f>
        <v>150</v>
      </c>
      <c r="J31" s="264">
        <f>SUM(E31:I31)</f>
        <v>5900</v>
      </c>
      <c r="K31" s="265">
        <f t="shared" ref="K31:K42" si="3">D31-J31</f>
        <v>-3015.3846153846152</v>
      </c>
      <c r="L31" s="266" t="s">
        <v>88</v>
      </c>
    </row>
    <row r="32" spans="2:12" s="173" customFormat="1">
      <c r="C32" s="207" t="s">
        <v>26</v>
      </c>
      <c r="D32" s="208">
        <f t="shared" si="2"/>
        <v>2884.6153846153848</v>
      </c>
      <c r="E32" s="209">
        <v>0</v>
      </c>
      <c r="F32" s="209">
        <f t="shared" ref="F32:F42" si="4">$D$20+$D$21</f>
        <v>1150</v>
      </c>
      <c r="G32" s="209">
        <f t="shared" ref="G32:G42" si="5">$D$22</f>
        <v>300</v>
      </c>
      <c r="H32" s="209">
        <f t="shared" ref="H32:H42" si="6">$D$23</f>
        <v>300</v>
      </c>
      <c r="I32" s="209">
        <f t="shared" ref="I32:I42" si="7">$D$24</f>
        <v>150</v>
      </c>
      <c r="J32" s="210">
        <f t="shared" ref="J32:J42" si="8">SUM(E32:I32)</f>
        <v>1900</v>
      </c>
      <c r="K32" s="211">
        <f t="shared" si="3"/>
        <v>984.61538461538476</v>
      </c>
      <c r="L32" s="212"/>
    </row>
    <row r="33" spans="3:15" s="173" customFormat="1">
      <c r="C33" s="207" t="s">
        <v>27</v>
      </c>
      <c r="D33" s="208">
        <f t="shared" si="2"/>
        <v>2884.6153846153848</v>
      </c>
      <c r="E33" s="209">
        <v>0</v>
      </c>
      <c r="F33" s="209">
        <f t="shared" si="4"/>
        <v>1150</v>
      </c>
      <c r="G33" s="209">
        <f t="shared" si="5"/>
        <v>300</v>
      </c>
      <c r="H33" s="209">
        <f t="shared" si="6"/>
        <v>300</v>
      </c>
      <c r="I33" s="209">
        <f t="shared" si="7"/>
        <v>150</v>
      </c>
      <c r="J33" s="210">
        <f t="shared" si="8"/>
        <v>1900</v>
      </c>
      <c r="K33" s="211">
        <f t="shared" si="3"/>
        <v>984.61538461538476</v>
      </c>
      <c r="L33" s="212"/>
    </row>
    <row r="34" spans="3:15" s="173" customFormat="1">
      <c r="C34" s="207" t="s">
        <v>28</v>
      </c>
      <c r="D34" s="208">
        <f t="shared" si="2"/>
        <v>2884.6153846153848</v>
      </c>
      <c r="E34" s="209">
        <v>0</v>
      </c>
      <c r="F34" s="209">
        <f t="shared" si="4"/>
        <v>1150</v>
      </c>
      <c r="G34" s="209">
        <f t="shared" si="5"/>
        <v>300</v>
      </c>
      <c r="H34" s="209">
        <f t="shared" si="6"/>
        <v>300</v>
      </c>
      <c r="I34" s="209">
        <f t="shared" si="7"/>
        <v>150</v>
      </c>
      <c r="J34" s="210">
        <f t="shared" si="8"/>
        <v>1900</v>
      </c>
      <c r="K34" s="211">
        <f t="shared" si="3"/>
        <v>984.61538461538476</v>
      </c>
      <c r="L34" s="212"/>
    </row>
    <row r="35" spans="3:15" s="173" customFormat="1">
      <c r="C35" s="207" t="s">
        <v>18</v>
      </c>
      <c r="D35" s="208">
        <f t="shared" si="2"/>
        <v>2884.6153846153848</v>
      </c>
      <c r="E35" s="209">
        <v>1300</v>
      </c>
      <c r="F35" s="209">
        <f t="shared" si="4"/>
        <v>1150</v>
      </c>
      <c r="G35" s="209">
        <f t="shared" si="5"/>
        <v>300</v>
      </c>
      <c r="H35" s="209">
        <f t="shared" si="6"/>
        <v>300</v>
      </c>
      <c r="I35" s="209">
        <f t="shared" si="7"/>
        <v>150</v>
      </c>
      <c r="J35" s="210">
        <f t="shared" si="8"/>
        <v>3200</v>
      </c>
      <c r="K35" s="211">
        <f t="shared" si="3"/>
        <v>-315.38461538461524</v>
      </c>
      <c r="L35" s="212" t="s">
        <v>124</v>
      </c>
    </row>
    <row r="36" spans="3:15" s="173" customFormat="1">
      <c r="C36" s="207" t="s">
        <v>19</v>
      </c>
      <c r="D36" s="208">
        <f t="shared" si="2"/>
        <v>2884.6153846153848</v>
      </c>
      <c r="E36" s="209">
        <v>0</v>
      </c>
      <c r="F36" s="209">
        <f t="shared" si="4"/>
        <v>1150</v>
      </c>
      <c r="G36" s="209">
        <f t="shared" si="5"/>
        <v>300</v>
      </c>
      <c r="H36" s="209">
        <f t="shared" si="6"/>
        <v>300</v>
      </c>
      <c r="I36" s="209">
        <f t="shared" si="7"/>
        <v>150</v>
      </c>
      <c r="J36" s="210">
        <f t="shared" si="8"/>
        <v>1900</v>
      </c>
      <c r="K36" s="211">
        <f t="shared" si="3"/>
        <v>984.61538461538476</v>
      </c>
    </row>
    <row r="37" spans="3:15" s="173" customFormat="1">
      <c r="C37" s="207" t="s">
        <v>20</v>
      </c>
      <c r="D37" s="208">
        <f t="shared" si="2"/>
        <v>2884.6153846153848</v>
      </c>
      <c r="E37" s="209">
        <v>0</v>
      </c>
      <c r="F37" s="209">
        <f t="shared" si="4"/>
        <v>1150</v>
      </c>
      <c r="G37" s="209">
        <f t="shared" si="5"/>
        <v>300</v>
      </c>
      <c r="H37" s="209">
        <f t="shared" si="6"/>
        <v>300</v>
      </c>
      <c r="I37" s="209">
        <f t="shared" si="7"/>
        <v>150</v>
      </c>
      <c r="J37" s="210">
        <f t="shared" si="8"/>
        <v>1900</v>
      </c>
      <c r="K37" s="211">
        <f t="shared" si="3"/>
        <v>984.61538461538476</v>
      </c>
    </row>
    <row r="38" spans="3:15" s="173" customFormat="1">
      <c r="C38" s="207" t="s">
        <v>16</v>
      </c>
      <c r="D38" s="208">
        <f t="shared" si="2"/>
        <v>2884.6153846153848</v>
      </c>
      <c r="E38" s="209">
        <v>4000</v>
      </c>
      <c r="F38" s="209">
        <f t="shared" si="4"/>
        <v>1150</v>
      </c>
      <c r="G38" s="209">
        <f t="shared" si="5"/>
        <v>300</v>
      </c>
      <c r="H38" s="209">
        <f t="shared" si="6"/>
        <v>300</v>
      </c>
      <c r="I38" s="209">
        <f t="shared" si="7"/>
        <v>150</v>
      </c>
      <c r="J38" s="210">
        <f t="shared" si="8"/>
        <v>5900</v>
      </c>
      <c r="K38" s="211">
        <f t="shared" si="3"/>
        <v>-3015.3846153846152</v>
      </c>
      <c r="L38" s="212" t="s">
        <v>88</v>
      </c>
    </row>
    <row r="39" spans="3:15" s="173" customFormat="1">
      <c r="C39" s="207" t="s">
        <v>21</v>
      </c>
      <c r="D39" s="208">
        <f t="shared" si="2"/>
        <v>2884.6153846153848</v>
      </c>
      <c r="E39" s="209">
        <v>0</v>
      </c>
      <c r="F39" s="209">
        <f t="shared" si="4"/>
        <v>1150</v>
      </c>
      <c r="G39" s="209">
        <f t="shared" si="5"/>
        <v>300</v>
      </c>
      <c r="H39" s="209">
        <f t="shared" si="6"/>
        <v>300</v>
      </c>
      <c r="I39" s="209">
        <f t="shared" si="7"/>
        <v>150</v>
      </c>
      <c r="J39" s="210">
        <f t="shared" si="8"/>
        <v>1900</v>
      </c>
      <c r="K39" s="211">
        <f t="shared" si="3"/>
        <v>984.61538461538476</v>
      </c>
      <c r="L39" s="212"/>
    </row>
    <row r="40" spans="3:15" s="173" customFormat="1">
      <c r="C40" s="207" t="s">
        <v>22</v>
      </c>
      <c r="D40" s="208">
        <f t="shared" si="2"/>
        <v>2884.6153846153848</v>
      </c>
      <c r="E40" s="209">
        <v>0</v>
      </c>
      <c r="F40" s="209">
        <f t="shared" si="4"/>
        <v>1150</v>
      </c>
      <c r="G40" s="209">
        <f t="shared" si="5"/>
        <v>300</v>
      </c>
      <c r="H40" s="209">
        <f t="shared" si="6"/>
        <v>300</v>
      </c>
      <c r="I40" s="209">
        <f t="shared" si="7"/>
        <v>150</v>
      </c>
      <c r="J40" s="210">
        <f t="shared" si="8"/>
        <v>1900</v>
      </c>
      <c r="K40" s="211">
        <f t="shared" si="3"/>
        <v>984.61538461538476</v>
      </c>
      <c r="L40" s="212"/>
    </row>
    <row r="41" spans="3:15" s="173" customFormat="1">
      <c r="C41" s="207" t="s">
        <v>23</v>
      </c>
      <c r="D41" s="208">
        <f t="shared" si="2"/>
        <v>2884.6153846153848</v>
      </c>
      <c r="E41" s="209">
        <v>0</v>
      </c>
      <c r="F41" s="209">
        <f t="shared" si="4"/>
        <v>1150</v>
      </c>
      <c r="G41" s="209">
        <f t="shared" si="5"/>
        <v>300</v>
      </c>
      <c r="H41" s="209">
        <f t="shared" si="6"/>
        <v>300</v>
      </c>
      <c r="I41" s="209">
        <f t="shared" si="7"/>
        <v>150</v>
      </c>
      <c r="J41" s="210">
        <f t="shared" si="8"/>
        <v>1900</v>
      </c>
      <c r="K41" s="211">
        <f t="shared" si="3"/>
        <v>984.61538461538476</v>
      </c>
      <c r="L41" s="212"/>
      <c r="O41" s="213"/>
    </row>
    <row r="42" spans="3:15" s="173" customFormat="1" ht="15.75" thickBot="1">
      <c r="C42" s="214" t="s">
        <v>24</v>
      </c>
      <c r="D42" s="215">
        <f t="shared" si="2"/>
        <v>2884.6153846153848</v>
      </c>
      <c r="E42" s="216">
        <v>0</v>
      </c>
      <c r="F42" s="216">
        <f t="shared" si="4"/>
        <v>1150</v>
      </c>
      <c r="G42" s="216">
        <f t="shared" si="5"/>
        <v>300</v>
      </c>
      <c r="H42" s="216">
        <f t="shared" si="6"/>
        <v>300</v>
      </c>
      <c r="I42" s="216">
        <f t="shared" si="7"/>
        <v>150</v>
      </c>
      <c r="J42" s="217">
        <f t="shared" si="8"/>
        <v>1900</v>
      </c>
      <c r="K42" s="218">
        <f t="shared" si="3"/>
        <v>984.61538461538476</v>
      </c>
      <c r="L42" s="219"/>
    </row>
    <row r="43" spans="3:15" s="173" customFormat="1" ht="15.75" thickBot="1">
      <c r="I43" s="220" t="s">
        <v>31</v>
      </c>
      <c r="J43" s="221">
        <f>SUM(J31:J42)</f>
        <v>32100</v>
      </c>
      <c r="K43" s="222">
        <f>SUM(K31:K42)</f>
        <v>2515.3846153846171</v>
      </c>
    </row>
    <row r="44" spans="3:15" s="173" customFormat="1"/>
  </sheetData>
  <sortState xmlns:xlrd2="http://schemas.microsoft.com/office/spreadsheetml/2017/richdata2" ref="I4:K9">
    <sortCondition ref="K4:K9"/>
  </sortState>
  <conditionalFormatting sqref="K31:K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11023622047" footer="0.511811023622047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ED8B-1412-4098-BD92-4DDCA7D3CEF0}">
  <dimension ref="A1:F12"/>
  <sheetViews>
    <sheetView showGridLines="0" zoomScaleNormal="100" workbookViewId="0">
      <selection activeCell="B12" sqref="B12"/>
    </sheetView>
  </sheetViews>
  <sheetFormatPr defaultRowHeight="15"/>
  <cols>
    <col min="1" max="1" width="12.42578125" style="2" bestFit="1" customWidth="1"/>
    <col min="2" max="2" width="15.28515625" style="2" bestFit="1" customWidth="1"/>
    <col min="3" max="3" width="44.140625" style="2" customWidth="1"/>
    <col min="4" max="4" width="30.7109375" style="2" bestFit="1" customWidth="1"/>
    <col min="5" max="5" width="125.140625" style="2" bestFit="1" customWidth="1"/>
    <col min="6" max="6" width="57.140625" style="2" bestFit="1" customWidth="1"/>
    <col min="7" max="16384" width="9.140625" style="2"/>
  </cols>
  <sheetData>
    <row r="1" spans="1:6" ht="15.75" thickBot="1"/>
    <row r="2" spans="1:6" ht="15.75" thickBot="1">
      <c r="A2" s="173"/>
      <c r="B2" s="285" t="s">
        <v>137</v>
      </c>
      <c r="C2" s="286" t="s">
        <v>135</v>
      </c>
      <c r="D2" s="286" t="s">
        <v>136</v>
      </c>
      <c r="E2" s="286" t="s">
        <v>145</v>
      </c>
      <c r="F2" s="287" t="s">
        <v>152</v>
      </c>
    </row>
    <row r="3" spans="1:6">
      <c r="B3" s="288">
        <v>1</v>
      </c>
      <c r="C3" s="289" t="s">
        <v>138</v>
      </c>
      <c r="D3" s="289" t="s">
        <v>139</v>
      </c>
      <c r="E3" s="289" t="s">
        <v>210</v>
      </c>
      <c r="F3" s="290"/>
    </row>
    <row r="4" spans="1:6">
      <c r="B4" s="174" t="s">
        <v>168</v>
      </c>
      <c r="C4" s="175" t="s">
        <v>140</v>
      </c>
      <c r="D4" s="175" t="s">
        <v>141</v>
      </c>
      <c r="E4" s="175" t="s">
        <v>211</v>
      </c>
      <c r="F4" s="176"/>
    </row>
    <row r="5" spans="1:6">
      <c r="B5" s="174">
        <v>3</v>
      </c>
      <c r="C5" s="175" t="s">
        <v>142</v>
      </c>
      <c r="D5" s="175" t="s">
        <v>143</v>
      </c>
      <c r="E5" s="175" t="s">
        <v>144</v>
      </c>
      <c r="F5" s="176"/>
    </row>
    <row r="6" spans="1:6">
      <c r="B6" s="174">
        <v>4</v>
      </c>
      <c r="C6" s="175" t="s">
        <v>146</v>
      </c>
      <c r="D6" s="175" t="s">
        <v>147</v>
      </c>
      <c r="E6" s="175" t="s">
        <v>148</v>
      </c>
      <c r="F6" s="176" t="s">
        <v>153</v>
      </c>
    </row>
    <row r="7" spans="1:6">
      <c r="B7" s="174">
        <v>6</v>
      </c>
      <c r="C7" s="175" t="s">
        <v>149</v>
      </c>
      <c r="D7" s="175" t="s">
        <v>150</v>
      </c>
      <c r="E7" s="175" t="s">
        <v>151</v>
      </c>
      <c r="F7" s="176" t="s">
        <v>154</v>
      </c>
    </row>
    <row r="8" spans="1:6">
      <c r="B8" s="174">
        <v>7</v>
      </c>
      <c r="C8" s="175" t="s">
        <v>155</v>
      </c>
      <c r="D8" s="175" t="s">
        <v>156</v>
      </c>
      <c r="E8" s="175" t="s">
        <v>157</v>
      </c>
      <c r="F8" s="176"/>
    </row>
    <row r="9" spans="1:6" ht="15.75" thickBot="1">
      <c r="B9" s="177">
        <v>8</v>
      </c>
      <c r="C9" s="178" t="s">
        <v>187</v>
      </c>
      <c r="D9" s="178" t="s">
        <v>188</v>
      </c>
      <c r="E9" s="178" t="s">
        <v>202</v>
      </c>
      <c r="F9" s="179"/>
    </row>
    <row r="11" spans="1:6">
      <c r="B11" s="180" t="s">
        <v>169</v>
      </c>
    </row>
    <row r="12" spans="1:6">
      <c r="B12" s="180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9A27-1807-40D9-B300-CC088525D7F8}">
  <dimension ref="B1:N97"/>
  <sheetViews>
    <sheetView showGridLines="0" zoomScaleNormal="100" workbookViewId="0">
      <selection activeCell="D37" sqref="D37:E37"/>
    </sheetView>
  </sheetViews>
  <sheetFormatPr defaultColWidth="9.140625" defaultRowHeight="15"/>
  <cols>
    <col min="1" max="1" width="15.140625" style="90" customWidth="1"/>
    <col min="2" max="2" width="13.5703125" style="90" customWidth="1"/>
    <col min="3" max="3" width="32.5703125" style="90" customWidth="1"/>
    <col min="4" max="4" width="19.28515625" style="90" customWidth="1"/>
    <col min="5" max="5" width="20.7109375" style="90" customWidth="1"/>
    <col min="6" max="6" width="16.42578125" style="90" customWidth="1"/>
    <col min="7" max="7" width="17.42578125" style="90" customWidth="1"/>
    <col min="8" max="8" width="18.7109375" style="91" customWidth="1"/>
    <col min="9" max="9" width="19.28515625" style="90" customWidth="1"/>
    <col min="10" max="10" width="18.140625" style="90" bestFit="1" customWidth="1"/>
    <col min="11" max="11" width="97.42578125" style="90" customWidth="1"/>
    <col min="12" max="12" width="22.140625" style="91" customWidth="1"/>
    <col min="13" max="13" width="22.42578125" style="90" customWidth="1"/>
    <col min="14" max="14" width="16.42578125" style="90" customWidth="1"/>
    <col min="15" max="15" width="17.85546875" style="90" customWidth="1"/>
    <col min="16" max="16" width="18.140625" style="90" customWidth="1"/>
    <col min="17" max="18" width="16.42578125" style="90" customWidth="1"/>
    <col min="19" max="19" width="18.140625" style="90" customWidth="1"/>
    <col min="20" max="20" width="14.28515625" style="90" customWidth="1"/>
    <col min="21" max="16384" width="9.140625" style="90"/>
  </cols>
  <sheetData>
    <row r="1" spans="2:14" ht="15.75" thickBot="1">
      <c r="K1" s="92"/>
      <c r="L1" s="92"/>
      <c r="M1" s="92"/>
      <c r="N1" s="92"/>
    </row>
    <row r="2" spans="2:14" ht="15.75" thickBot="1">
      <c r="B2" s="93">
        <v>1</v>
      </c>
      <c r="C2" s="109" t="s">
        <v>36</v>
      </c>
      <c r="D2" s="91"/>
      <c r="J2" s="94" t="s">
        <v>172</v>
      </c>
      <c r="K2" s="95" t="s">
        <v>171</v>
      </c>
      <c r="L2" s="96"/>
      <c r="N2" s="92"/>
    </row>
    <row r="3" spans="2:14">
      <c r="C3" s="110" t="s">
        <v>37</v>
      </c>
      <c r="D3" s="270">
        <v>10000</v>
      </c>
      <c r="F3" s="97"/>
      <c r="K3" s="98" t="s">
        <v>170</v>
      </c>
      <c r="L3" s="99" t="s">
        <v>33</v>
      </c>
      <c r="M3" s="100" t="s">
        <v>90</v>
      </c>
      <c r="N3" s="92"/>
    </row>
    <row r="4" spans="2:14" ht="15.75" thickBot="1">
      <c r="C4" s="112" t="s">
        <v>1</v>
      </c>
      <c r="D4" s="271">
        <v>1000</v>
      </c>
      <c r="E4" s="92" t="s">
        <v>49</v>
      </c>
      <c r="F4" s="92" t="s">
        <v>38</v>
      </c>
      <c r="J4" s="97"/>
      <c r="K4" s="102" t="s">
        <v>34</v>
      </c>
      <c r="L4" s="103" t="s">
        <v>35</v>
      </c>
      <c r="M4" s="100" t="s">
        <v>90</v>
      </c>
      <c r="N4" s="92"/>
    </row>
    <row r="5" spans="2:14">
      <c r="C5" s="112" t="s">
        <v>39</v>
      </c>
      <c r="D5" s="272">
        <v>1.07</v>
      </c>
      <c r="E5" s="104">
        <f>D5^(1/12)</f>
        <v>1.0056541453874053</v>
      </c>
      <c r="F5" s="104">
        <f>E5^11 + E5^10 + E5^9 + E5^8 + E5^7 + E5^6 + E5^5 + E5^4 + E5^3 + E5^2 + E5^1 + E5^0</f>
        <v>12.380297145511401</v>
      </c>
      <c r="H5" s="90"/>
      <c r="K5" s="92"/>
      <c r="L5" s="92"/>
      <c r="M5" s="92"/>
      <c r="N5" s="92"/>
    </row>
    <row r="6" spans="2:14">
      <c r="C6" s="112" t="s">
        <v>34</v>
      </c>
      <c r="D6" s="272">
        <v>1.03</v>
      </c>
      <c r="E6" s="105">
        <f>1.07/1.04</f>
        <v>1.028846153846154</v>
      </c>
      <c r="H6" s="90"/>
      <c r="K6" s="92"/>
      <c r="L6" s="92"/>
      <c r="M6" s="92"/>
      <c r="N6" s="92"/>
    </row>
    <row r="7" spans="2:14" ht="15.75" thickBot="1">
      <c r="C7" s="117" t="s">
        <v>40</v>
      </c>
      <c r="D7" s="273">
        <f>D5-D6</f>
        <v>4.0000000000000036E-2</v>
      </c>
      <c r="H7" s="106"/>
      <c r="I7" s="107"/>
      <c r="K7" s="92"/>
      <c r="L7" s="92"/>
      <c r="M7" s="92"/>
      <c r="N7" s="92"/>
    </row>
    <row r="8" spans="2:14">
      <c r="C8" s="92" t="s">
        <v>42</v>
      </c>
      <c r="D8" s="108">
        <f>(247.867 / 9.8)^(1/(2018-1913))</f>
        <v>1.03124494950283</v>
      </c>
      <c r="H8" s="90"/>
    </row>
    <row r="9" spans="2:14">
      <c r="C9" s="92" t="s">
        <v>43</v>
      </c>
      <c r="D9" s="108">
        <f>(247.867 /100)^(1/(2018-1984))</f>
        <v>1.0270572862627796</v>
      </c>
      <c r="H9" s="90"/>
    </row>
    <row r="10" spans="2:14" ht="15.75" thickBot="1">
      <c r="D10" s="91"/>
    </row>
    <row r="11" spans="2:14" ht="15.75" thickBot="1">
      <c r="B11" s="93">
        <v>2</v>
      </c>
      <c r="C11" s="109" t="s">
        <v>198</v>
      </c>
      <c r="D11" s="91"/>
    </row>
    <row r="12" spans="2:14">
      <c r="C12" s="110" t="s">
        <v>30</v>
      </c>
      <c r="D12" s="111">
        <f>SUM(F54:F95)*12</f>
        <v>504000</v>
      </c>
    </row>
    <row r="13" spans="2:14">
      <c r="C13" s="112" t="s">
        <v>44</v>
      </c>
      <c r="D13" s="113">
        <f>G53</f>
        <v>3026738.2268178659</v>
      </c>
    </row>
    <row r="14" spans="2:14">
      <c r="C14" s="112" t="s">
        <v>40</v>
      </c>
      <c r="D14" s="113">
        <f>$D$13-$D$12</f>
        <v>2522738.2268178659</v>
      </c>
    </row>
    <row r="15" spans="2:14">
      <c r="C15" s="112" t="s">
        <v>45</v>
      </c>
      <c r="D15" s="114">
        <f>I53</f>
        <v>900842.04724524019</v>
      </c>
    </row>
    <row r="16" spans="2:14">
      <c r="C16" s="115" t="s">
        <v>46</v>
      </c>
      <c r="D16" s="116">
        <v>0.03</v>
      </c>
    </row>
    <row r="17" spans="2:12" ht="15.75" thickBot="1">
      <c r="C17" s="117" t="s">
        <v>47</v>
      </c>
      <c r="D17" s="118">
        <f>D16*D15</f>
        <v>27025.261417357204</v>
      </c>
    </row>
    <row r="18" spans="2:12" ht="15.75" thickBot="1">
      <c r="D18" s="97"/>
    </row>
    <row r="19" spans="2:12" ht="18" thickBot="1">
      <c r="B19" s="93">
        <v>3</v>
      </c>
      <c r="C19" s="109" t="s">
        <v>48</v>
      </c>
      <c r="G19" s="90" t="s">
        <v>174</v>
      </c>
      <c r="H19" s="106"/>
      <c r="I19" s="97"/>
      <c r="J19" s="119"/>
    </row>
    <row r="20" spans="2:12" ht="15.75" thickBot="1">
      <c r="C20" s="120" t="s">
        <v>89</v>
      </c>
      <c r="D20" s="121" t="s">
        <v>49</v>
      </c>
      <c r="E20" s="122" t="s">
        <v>37</v>
      </c>
      <c r="F20" s="122" t="s">
        <v>1</v>
      </c>
      <c r="G20" s="123" t="s">
        <v>50</v>
      </c>
    </row>
    <row r="21" spans="2:12">
      <c r="C21" s="110">
        <v>0.04</v>
      </c>
      <c r="D21" s="124">
        <f>(1+C21)^(1/12)-1</f>
        <v>3.2737397821989145E-3</v>
      </c>
      <c r="E21" s="125">
        <f>$D$3</f>
        <v>10000</v>
      </c>
      <c r="F21" s="126">
        <f>$D$4</f>
        <v>1000</v>
      </c>
      <c r="G21" s="127">
        <f>E21*(1+D21)^($H$41*12)+F21*(((1+D21)^($H$41*12)-1)/D21)</f>
        <v>1209073.9684650325</v>
      </c>
    </row>
    <row r="22" spans="2:12">
      <c r="C22" s="112">
        <v>0.05</v>
      </c>
      <c r="D22" s="128">
        <f>(1+C22)^(1/12)-1</f>
        <v>4.0741237836483535E-3</v>
      </c>
      <c r="E22" s="129">
        <f>$D$3</f>
        <v>10000</v>
      </c>
      <c r="F22" s="130">
        <f>$D$4</f>
        <v>1000</v>
      </c>
      <c r="G22" s="131">
        <f>E22*(1+D22)^($H$41*12)+F22*(((1+D22)^($H$41*12)-1)/D22)</f>
        <v>1552924.482070151</v>
      </c>
      <c r="H22" s="90"/>
    </row>
    <row r="23" spans="2:12">
      <c r="C23" s="112">
        <v>0.06</v>
      </c>
      <c r="D23" s="128">
        <f>(1+C23)^(1/12)-1</f>
        <v>4.8675505653430484E-3</v>
      </c>
      <c r="E23" s="129">
        <f>$D$3</f>
        <v>10000</v>
      </c>
      <c r="F23" s="130">
        <f>$D$4</f>
        <v>1000</v>
      </c>
      <c r="G23" s="131">
        <f>E23*(1+D23)^($H$41*12)+F23*(((1+D23)^($H$41*12)-1)/D23)</f>
        <v>2010534.9348404054</v>
      </c>
      <c r="H23" s="90"/>
      <c r="L23" s="90"/>
    </row>
    <row r="24" spans="2:12" ht="15.75" thickBot="1">
      <c r="C24" s="132">
        <f>D5-1</f>
        <v>7.0000000000000062E-2</v>
      </c>
      <c r="D24" s="133">
        <f>(1+C24)^(1/12)-1</f>
        <v>5.6541453874052738E-3</v>
      </c>
      <c r="E24" s="134">
        <f>$D$3</f>
        <v>10000</v>
      </c>
      <c r="F24" s="135">
        <f>$D$4</f>
        <v>1000</v>
      </c>
      <c r="G24" s="136">
        <f>E24*(1+D24)^($H$41*12)+F24*(((1+D24)^($H$41*12)-1)/D24)</f>
        <v>2621286.5854892507</v>
      </c>
      <c r="H24" s="90"/>
      <c r="L24" s="90"/>
    </row>
    <row r="25" spans="2:12" ht="15.75" thickBot="1">
      <c r="C25" s="97"/>
      <c r="D25" s="91"/>
      <c r="H25" s="90"/>
      <c r="L25" s="90"/>
    </row>
    <row r="26" spans="2:12" ht="15.75" thickBot="1">
      <c r="B26" s="93">
        <v>4</v>
      </c>
      <c r="C26" s="109" t="s">
        <v>51</v>
      </c>
      <c r="H26" s="90"/>
      <c r="L26" s="90"/>
    </row>
    <row r="27" spans="2:12" ht="15.75" thickBot="1">
      <c r="C27" s="120" t="s">
        <v>52</v>
      </c>
      <c r="D27" s="122" t="s">
        <v>53</v>
      </c>
      <c r="E27" s="122" t="s">
        <v>54</v>
      </c>
      <c r="F27" s="122" t="s">
        <v>55</v>
      </c>
      <c r="G27" s="122" t="s">
        <v>44</v>
      </c>
      <c r="H27" s="122" t="s">
        <v>56</v>
      </c>
      <c r="I27" s="123" t="s">
        <v>57</v>
      </c>
      <c r="L27" s="90"/>
    </row>
    <row r="28" spans="2:12" ht="15.75" thickBot="1">
      <c r="C28" s="137">
        <v>100000</v>
      </c>
      <c r="D28" s="138">
        <f>D5^H41</f>
        <v>14.974457839206954</v>
      </c>
      <c r="E28" s="139">
        <f>D6^H41</f>
        <v>3.262037791999072</v>
      </c>
      <c r="F28" s="138">
        <f>D28/E28</f>
        <v>4.5905224874878501</v>
      </c>
      <c r="G28" s="138">
        <f>C28*D28</f>
        <v>1497445.7839206953</v>
      </c>
      <c r="H28" s="138">
        <f>G28/E28</f>
        <v>459052.248748785</v>
      </c>
      <c r="I28" s="140">
        <f>H28*0.03</f>
        <v>13771.56746246355</v>
      </c>
      <c r="L28" s="90"/>
    </row>
    <row r="29" spans="2:12">
      <c r="C29" s="97"/>
      <c r="D29" s="91"/>
      <c r="F29" s="97"/>
      <c r="H29" s="90"/>
      <c r="L29" s="90"/>
    </row>
    <row r="30" spans="2:12" ht="15.75" thickBot="1">
      <c r="C30" s="97"/>
      <c r="D30" s="91"/>
      <c r="H30" s="90"/>
      <c r="L30" s="90"/>
    </row>
    <row r="31" spans="2:12" ht="15.75" thickBot="1">
      <c r="B31" s="93">
        <v>5</v>
      </c>
      <c r="C31" s="141" t="s">
        <v>191</v>
      </c>
      <c r="D31" s="305" t="s">
        <v>139</v>
      </c>
      <c r="E31" s="306"/>
      <c r="F31" s="303" t="s">
        <v>192</v>
      </c>
      <c r="G31" s="304"/>
      <c r="H31" s="90"/>
      <c r="L31" s="90"/>
    </row>
    <row r="32" spans="2:12">
      <c r="C32" s="142">
        <v>1</v>
      </c>
      <c r="D32" s="307" t="s">
        <v>189</v>
      </c>
      <c r="E32" s="308"/>
      <c r="F32" s="307" t="s">
        <v>189</v>
      </c>
      <c r="G32" s="308"/>
      <c r="H32" s="90"/>
      <c r="L32" s="90"/>
    </row>
    <row r="33" spans="2:12">
      <c r="C33" s="143">
        <v>2</v>
      </c>
      <c r="D33" s="299" t="s">
        <v>58</v>
      </c>
      <c r="E33" s="300"/>
      <c r="F33" s="299" t="s">
        <v>58</v>
      </c>
      <c r="G33" s="300"/>
      <c r="H33" s="90"/>
      <c r="L33" s="90"/>
    </row>
    <row r="34" spans="2:12">
      <c r="C34" s="143">
        <v>3</v>
      </c>
      <c r="D34" s="299" t="s">
        <v>59</v>
      </c>
      <c r="E34" s="300"/>
      <c r="F34" s="299" t="s">
        <v>190</v>
      </c>
      <c r="G34" s="300"/>
      <c r="H34" s="90"/>
      <c r="L34" s="90"/>
    </row>
    <row r="35" spans="2:12">
      <c r="C35" s="143">
        <v>4</v>
      </c>
      <c r="D35" s="299" t="s">
        <v>60</v>
      </c>
      <c r="E35" s="300"/>
      <c r="F35" s="299" t="s">
        <v>193</v>
      </c>
      <c r="G35" s="300"/>
      <c r="H35" s="90"/>
      <c r="L35" s="90"/>
    </row>
    <row r="36" spans="2:12">
      <c r="C36" s="143">
        <v>5</v>
      </c>
      <c r="D36" s="299" t="s">
        <v>61</v>
      </c>
      <c r="E36" s="300"/>
      <c r="F36" s="299" t="s">
        <v>61</v>
      </c>
      <c r="G36" s="300"/>
      <c r="H36" s="90"/>
      <c r="L36" s="90"/>
    </row>
    <row r="37" spans="2:12">
      <c r="C37" s="143">
        <v>6</v>
      </c>
      <c r="D37" s="299" t="s">
        <v>62</v>
      </c>
      <c r="E37" s="300"/>
      <c r="F37" s="299" t="s">
        <v>62</v>
      </c>
      <c r="G37" s="300"/>
      <c r="H37" s="90"/>
      <c r="L37" s="90"/>
    </row>
    <row r="38" spans="2:12" ht="15.75" thickBot="1">
      <c r="C38" s="144">
        <v>7</v>
      </c>
      <c r="D38" s="301" t="s">
        <v>63</v>
      </c>
      <c r="E38" s="302"/>
      <c r="F38" s="301" t="s">
        <v>194</v>
      </c>
      <c r="G38" s="302"/>
      <c r="H38" s="90"/>
    </row>
    <row r="39" spans="2:12" ht="15.75" thickBot="1"/>
    <row r="40" spans="2:12" ht="15.75" thickBot="1">
      <c r="B40" s="93">
        <v>6</v>
      </c>
      <c r="C40" s="145" t="s">
        <v>64</v>
      </c>
      <c r="H40" s="90"/>
      <c r="L40" s="90"/>
    </row>
    <row r="41" spans="2:12">
      <c r="C41" s="146" t="s">
        <v>127</v>
      </c>
      <c r="D41" s="147" t="s">
        <v>128</v>
      </c>
      <c r="E41" s="148" t="s">
        <v>65</v>
      </c>
      <c r="G41" s="110" t="s">
        <v>41</v>
      </c>
      <c r="H41" s="149">
        <v>40</v>
      </c>
      <c r="L41" s="90"/>
    </row>
    <row r="42" spans="2:12" ht="15.75" thickBot="1">
      <c r="C42" s="150">
        <v>5</v>
      </c>
      <c r="D42" s="151">
        <f t="shared" ref="D42:D47" si="0">C42-$H$42</f>
        <v>2</v>
      </c>
      <c r="E42" s="152">
        <f t="shared" ref="E42:E47" si="1">(1+D42/100)^$H$41</f>
        <v>2.2080396636148518</v>
      </c>
      <c r="F42" s="105" t="s">
        <v>130</v>
      </c>
      <c r="G42" s="153" t="s">
        <v>34</v>
      </c>
      <c r="H42" s="154">
        <v>3</v>
      </c>
      <c r="L42" s="90"/>
    </row>
    <row r="43" spans="2:12">
      <c r="C43" s="150">
        <v>6</v>
      </c>
      <c r="D43" s="151">
        <f t="shared" si="0"/>
        <v>3</v>
      </c>
      <c r="E43" s="152">
        <f t="shared" si="1"/>
        <v>3.262037791999072</v>
      </c>
      <c r="L43" s="90"/>
    </row>
    <row r="44" spans="2:12">
      <c r="C44" s="150">
        <v>7</v>
      </c>
      <c r="D44" s="151">
        <f t="shared" si="0"/>
        <v>4</v>
      </c>
      <c r="E44" s="152">
        <f t="shared" si="1"/>
        <v>4.8010206279366594</v>
      </c>
      <c r="L44" s="90"/>
    </row>
    <row r="45" spans="2:12">
      <c r="C45" s="150">
        <v>8</v>
      </c>
      <c r="D45" s="151">
        <f t="shared" si="0"/>
        <v>5</v>
      </c>
      <c r="E45" s="152">
        <f t="shared" si="1"/>
        <v>7.0399887121246492</v>
      </c>
      <c r="L45" s="90"/>
    </row>
    <row r="46" spans="2:12">
      <c r="C46" s="150">
        <v>9</v>
      </c>
      <c r="D46" s="151">
        <f t="shared" si="0"/>
        <v>6</v>
      </c>
      <c r="E46" s="152">
        <f t="shared" si="1"/>
        <v>10.285717937125929</v>
      </c>
      <c r="L46" s="90"/>
    </row>
    <row r="47" spans="2:12" ht="15.75" thickBot="1">
      <c r="C47" s="155">
        <v>10</v>
      </c>
      <c r="D47" s="156">
        <f t="shared" si="0"/>
        <v>7</v>
      </c>
      <c r="E47" s="157">
        <f t="shared" si="1"/>
        <v>14.974457839206954</v>
      </c>
      <c r="F47" s="105" t="s">
        <v>129</v>
      </c>
      <c r="L47" s="90"/>
    </row>
    <row r="48" spans="2:12">
      <c r="D48" s="97"/>
      <c r="L48" s="90"/>
    </row>
    <row r="49" spans="2:9" s="90" customFormat="1" ht="15.75" thickBot="1">
      <c r="H49" s="91"/>
    </row>
    <row r="50" spans="2:9" s="90" customFormat="1" ht="15.75" thickBot="1">
      <c r="B50" s="93">
        <v>7</v>
      </c>
      <c r="C50" s="158" t="s">
        <v>126</v>
      </c>
      <c r="H50" s="91"/>
    </row>
    <row r="51" spans="2:9" s="90" customFormat="1" ht="15.75" thickBot="1">
      <c r="C51" s="97"/>
      <c r="F51" s="105" t="s">
        <v>66</v>
      </c>
      <c r="G51" s="159">
        <f t="array" ref="G51">INDEX(D54:D95,MATCH(TRUE(),G54:G95&gt;1000000,0))</f>
        <v>52</v>
      </c>
      <c r="H51" s="160"/>
      <c r="I51" s="105" t="e">
        <f t="array" ref="I51">INDEX(D54:D95,MATCH(TRUE(),I54:I95&gt;1000000,0))</f>
        <v>#N/A</v>
      </c>
    </row>
    <row r="52" spans="2:9" s="90" customFormat="1" ht="15.75" thickBot="1">
      <c r="D52" s="237" t="s">
        <v>67</v>
      </c>
      <c r="E52" s="238" t="s">
        <v>68</v>
      </c>
      <c r="F52" s="239" t="s">
        <v>69</v>
      </c>
      <c r="G52" s="240" t="s">
        <v>70</v>
      </c>
      <c r="H52" s="241" t="s">
        <v>34</v>
      </c>
      <c r="I52" s="242" t="s">
        <v>125</v>
      </c>
    </row>
    <row r="53" spans="2:9" s="90" customFormat="1" ht="15.75" thickBot="1">
      <c r="C53" s="161" t="s">
        <v>173</v>
      </c>
      <c r="D53" s="162">
        <f t="shared" ref="D53:I53" si="2">MAX(D54:D95)</f>
        <v>66</v>
      </c>
      <c r="E53" s="163">
        <f t="shared" si="2"/>
        <v>41</v>
      </c>
      <c r="F53" s="164">
        <f t="shared" si="2"/>
        <v>1000</v>
      </c>
      <c r="G53" s="165">
        <f t="shared" si="2"/>
        <v>3026738.2268178659</v>
      </c>
      <c r="H53" s="166">
        <f t="shared" si="2"/>
        <v>3.3598989257590501</v>
      </c>
      <c r="I53" s="167">
        <f t="shared" si="2"/>
        <v>900842.04724524019</v>
      </c>
    </row>
    <row r="54" spans="2:9" s="90" customFormat="1">
      <c r="C54" s="146"/>
      <c r="D54" s="243">
        <v>25</v>
      </c>
      <c r="E54" s="244">
        <v>0</v>
      </c>
      <c r="F54" s="245">
        <f t="shared" ref="F54:F95" si="3">$D$4</f>
        <v>1000</v>
      </c>
      <c r="G54" s="246">
        <f>D3*D5 + F54*F5</f>
        <v>23080.297145511402</v>
      </c>
      <c r="H54" s="247">
        <v>1</v>
      </c>
      <c r="I54" s="127">
        <f t="shared" ref="I54:I95" si="4">G54/H54</f>
        <v>23080.297145511402</v>
      </c>
    </row>
    <row r="55" spans="2:9" s="90" customFormat="1">
      <c r="C55" s="168"/>
      <c r="D55" s="101">
        <f t="shared" ref="D55:D95" si="5">D54+1</f>
        <v>26</v>
      </c>
      <c r="E55" s="248">
        <v>1</v>
      </c>
      <c r="F55" s="249">
        <f t="shared" si="3"/>
        <v>1000</v>
      </c>
      <c r="G55" s="250">
        <f t="shared" ref="G55:G95" si="6">G54*$D$5 + F55*$F$5</f>
        <v>37076.2150912086</v>
      </c>
      <c r="H55" s="251">
        <f t="shared" ref="H55:H95" si="7">H54*$D$6</f>
        <v>1.03</v>
      </c>
      <c r="I55" s="131">
        <f t="shared" si="4"/>
        <v>35996.325331270484</v>
      </c>
    </row>
    <row r="56" spans="2:9" s="90" customFormat="1">
      <c r="C56" s="168"/>
      <c r="D56" s="101">
        <f t="shared" si="5"/>
        <v>27</v>
      </c>
      <c r="E56" s="248">
        <v>2</v>
      </c>
      <c r="F56" s="249">
        <f t="shared" si="3"/>
        <v>1000</v>
      </c>
      <c r="G56" s="250">
        <f t="shared" si="6"/>
        <v>52051.847293104605</v>
      </c>
      <c r="H56" s="251">
        <f t="shared" si="7"/>
        <v>1.0609</v>
      </c>
      <c r="I56" s="131">
        <f t="shared" si="4"/>
        <v>49063.85832133529</v>
      </c>
    </row>
    <row r="57" spans="2:9" s="90" customFormat="1">
      <c r="C57" s="168"/>
      <c r="D57" s="101">
        <f t="shared" si="5"/>
        <v>28</v>
      </c>
      <c r="E57" s="248">
        <v>3</v>
      </c>
      <c r="F57" s="249">
        <f t="shared" si="3"/>
        <v>1000</v>
      </c>
      <c r="G57" s="250">
        <f t="shared" si="6"/>
        <v>68075.773749133325</v>
      </c>
      <c r="H57" s="251">
        <f t="shared" si="7"/>
        <v>1.092727</v>
      </c>
      <c r="I57" s="131">
        <f t="shared" si="4"/>
        <v>62298.976550532134</v>
      </c>
    </row>
    <row r="58" spans="2:9" s="90" customFormat="1">
      <c r="C58" s="168"/>
      <c r="D58" s="101">
        <f t="shared" si="5"/>
        <v>29</v>
      </c>
      <c r="E58" s="248">
        <v>4</v>
      </c>
      <c r="F58" s="249">
        <f t="shared" si="3"/>
        <v>1000</v>
      </c>
      <c r="G58" s="250">
        <f t="shared" si="6"/>
        <v>85221.375057084064</v>
      </c>
      <c r="H58" s="251">
        <f t="shared" si="7"/>
        <v>1.1255088100000001</v>
      </c>
      <c r="I58" s="131">
        <f t="shared" si="4"/>
        <v>75718.08794378434</v>
      </c>
    </row>
    <row r="59" spans="2:9" s="90" customFormat="1">
      <c r="C59" s="168"/>
      <c r="D59" s="101">
        <f t="shared" si="5"/>
        <v>30</v>
      </c>
      <c r="E59" s="248">
        <v>5</v>
      </c>
      <c r="F59" s="249">
        <f t="shared" si="3"/>
        <v>1000</v>
      </c>
      <c r="G59" s="250">
        <f t="shared" si="6"/>
        <v>103567.16845659136</v>
      </c>
      <c r="H59" s="251">
        <f t="shared" si="7"/>
        <v>1.1592740743000001</v>
      </c>
      <c r="I59" s="131">
        <f t="shared" si="4"/>
        <v>89337.949284450195</v>
      </c>
    </row>
    <row r="60" spans="2:9" s="90" customFormat="1">
      <c r="C60" s="168"/>
      <c r="D60" s="101">
        <f t="shared" si="5"/>
        <v>31</v>
      </c>
      <c r="E60" s="248">
        <v>6</v>
      </c>
      <c r="F60" s="249">
        <f t="shared" si="3"/>
        <v>1000</v>
      </c>
      <c r="G60" s="250">
        <f t="shared" si="6"/>
        <v>123197.16739406416</v>
      </c>
      <c r="H60" s="251">
        <f t="shared" si="7"/>
        <v>1.1940522965290001</v>
      </c>
      <c r="I60" s="131">
        <f t="shared" si="4"/>
        <v>103175.68816054956</v>
      </c>
    </row>
    <row r="61" spans="2:9" s="90" customFormat="1">
      <c r="C61" s="168"/>
      <c r="D61" s="101">
        <f t="shared" si="5"/>
        <v>32</v>
      </c>
      <c r="E61" s="248">
        <v>7</v>
      </c>
      <c r="F61" s="249">
        <f t="shared" si="3"/>
        <v>1000</v>
      </c>
      <c r="G61" s="250">
        <f t="shared" si="6"/>
        <v>144201.26625716005</v>
      </c>
      <c r="H61" s="251">
        <f t="shared" si="7"/>
        <v>1.2298738654248702</v>
      </c>
      <c r="I61" s="131">
        <f t="shared" si="4"/>
        <v>117248.82551865961</v>
      </c>
    </row>
    <row r="62" spans="2:9" s="90" customFormat="1">
      <c r="C62" s="168"/>
      <c r="D62" s="101">
        <f t="shared" si="5"/>
        <v>33</v>
      </c>
      <c r="E62" s="248">
        <v>8</v>
      </c>
      <c r="F62" s="249">
        <f t="shared" si="3"/>
        <v>1000</v>
      </c>
      <c r="G62" s="250">
        <f t="shared" si="6"/>
        <v>166675.65204067266</v>
      </c>
      <c r="H62" s="251">
        <f t="shared" si="7"/>
        <v>1.2667700813876164</v>
      </c>
      <c r="I62" s="131">
        <f t="shared" si="4"/>
        <v>131575.29885620336</v>
      </c>
    </row>
    <row r="63" spans="2:9" s="90" customFormat="1">
      <c r="C63" s="168"/>
      <c r="D63" s="101">
        <f t="shared" si="5"/>
        <v>34</v>
      </c>
      <c r="E63" s="248">
        <v>9</v>
      </c>
      <c r="F63" s="249">
        <f t="shared" si="3"/>
        <v>1000</v>
      </c>
      <c r="G63" s="250">
        <f t="shared" si="6"/>
        <v>190723.24482903117</v>
      </c>
      <c r="H63" s="251">
        <f t="shared" si="7"/>
        <v>1.3047731838292449</v>
      </c>
      <c r="I63" s="131">
        <f t="shared" si="4"/>
        <v>146173.48608383955</v>
      </c>
    </row>
    <row r="64" spans="2:9" s="90" customFormat="1">
      <c r="C64" s="168"/>
      <c r="D64" s="101">
        <f t="shared" si="5"/>
        <v>35</v>
      </c>
      <c r="E64" s="248">
        <v>10</v>
      </c>
      <c r="F64" s="249">
        <f t="shared" si="3"/>
        <v>1000</v>
      </c>
      <c r="G64" s="250">
        <f t="shared" si="6"/>
        <v>216454.16911257477</v>
      </c>
      <c r="H64" s="251">
        <f t="shared" si="7"/>
        <v>1.3439163793441222</v>
      </c>
      <c r="I64" s="131">
        <f t="shared" si="4"/>
        <v>161062.23009069351</v>
      </c>
    </row>
    <row r="65" spans="3:9" s="90" customFormat="1">
      <c r="C65" s="168"/>
      <c r="D65" s="101">
        <f t="shared" si="5"/>
        <v>36</v>
      </c>
      <c r="E65" s="248">
        <v>11</v>
      </c>
      <c r="F65" s="249">
        <f t="shared" si="3"/>
        <v>1000</v>
      </c>
      <c r="G65" s="250">
        <f t="shared" si="6"/>
        <v>243986.25809596642</v>
      </c>
      <c r="H65" s="251">
        <f t="shared" si="7"/>
        <v>1.3842338707244459</v>
      </c>
      <c r="I65" s="131">
        <f t="shared" si="4"/>
        <v>176260.86404624311</v>
      </c>
    </row>
    <row r="66" spans="3:9" s="90" customFormat="1">
      <c r="C66" s="168"/>
      <c r="D66" s="101">
        <f t="shared" si="5"/>
        <v>37</v>
      </c>
      <c r="E66" s="248">
        <v>12</v>
      </c>
      <c r="F66" s="249">
        <f t="shared" si="3"/>
        <v>1000</v>
      </c>
      <c r="G66" s="250">
        <f t="shared" si="6"/>
        <v>273445.59330819547</v>
      </c>
      <c r="H66" s="251">
        <f t="shared" si="7"/>
        <v>1.4257608868461793</v>
      </c>
      <c r="I66" s="131">
        <f t="shared" si="4"/>
        <v>191789.23747379854</v>
      </c>
    </row>
    <row r="67" spans="3:9" s="90" customFormat="1">
      <c r="C67" s="168"/>
      <c r="D67" s="101">
        <f t="shared" si="5"/>
        <v>38</v>
      </c>
      <c r="E67" s="248">
        <v>13</v>
      </c>
      <c r="F67" s="249">
        <f t="shared" si="3"/>
        <v>1000</v>
      </c>
      <c r="G67" s="250">
        <f t="shared" si="6"/>
        <v>304967.08198528056</v>
      </c>
      <c r="H67" s="251">
        <f t="shared" si="7"/>
        <v>1.4685337134515648</v>
      </c>
      <c r="I67" s="131">
        <f t="shared" si="4"/>
        <v>207667.74313168603</v>
      </c>
    </row>
    <row r="68" spans="3:9" s="90" customFormat="1">
      <c r="C68" s="168"/>
      <c r="D68" s="101">
        <f t="shared" si="5"/>
        <v>39</v>
      </c>
      <c r="E68" s="248">
        <v>14</v>
      </c>
      <c r="F68" s="249">
        <f t="shared" si="3"/>
        <v>1000</v>
      </c>
      <c r="G68" s="250">
        <f t="shared" si="6"/>
        <v>338695.07486976159</v>
      </c>
      <c r="H68" s="251">
        <f t="shared" si="7"/>
        <v>1.5125897248551119</v>
      </c>
      <c r="I68" s="131">
        <f t="shared" si="4"/>
        <v>223917.34473946961</v>
      </c>
    </row>
    <row r="69" spans="3:9" s="90" customFormat="1">
      <c r="C69" s="168"/>
      <c r="D69" s="101">
        <f t="shared" si="5"/>
        <v>40</v>
      </c>
      <c r="E69" s="248">
        <v>15</v>
      </c>
      <c r="F69" s="249">
        <f t="shared" si="3"/>
        <v>1000</v>
      </c>
      <c r="G69" s="250">
        <f t="shared" si="6"/>
        <v>374784.02725615632</v>
      </c>
      <c r="H69" s="251">
        <f t="shared" si="7"/>
        <v>1.5579674166007653</v>
      </c>
      <c r="I69" s="131">
        <f t="shared" si="4"/>
        <v>240559.60558782087</v>
      </c>
    </row>
    <row r="70" spans="3:9" s="90" customFormat="1">
      <c r="C70" s="168"/>
      <c r="D70" s="101">
        <f t="shared" si="5"/>
        <v>41</v>
      </c>
      <c r="E70" s="248">
        <v>16</v>
      </c>
      <c r="F70" s="249">
        <f t="shared" si="3"/>
        <v>1000</v>
      </c>
      <c r="G70" s="250">
        <f t="shared" si="6"/>
        <v>413399.20630959864</v>
      </c>
      <c r="H70" s="251">
        <f t="shared" si="7"/>
        <v>1.6047064390987884</v>
      </c>
      <c r="I70" s="131">
        <f t="shared" si="4"/>
        <v>257616.71807197697</v>
      </c>
    </row>
    <row r="71" spans="3:9" s="90" customFormat="1">
      <c r="C71" s="168"/>
      <c r="D71" s="101">
        <f t="shared" si="5"/>
        <v>42</v>
      </c>
      <c r="E71" s="248">
        <v>17</v>
      </c>
      <c r="F71" s="249">
        <f t="shared" si="3"/>
        <v>1000</v>
      </c>
      <c r="G71" s="250">
        <f t="shared" si="6"/>
        <v>454717.44789678196</v>
      </c>
      <c r="H71" s="251">
        <f t="shared" si="7"/>
        <v>1.652847632271752</v>
      </c>
      <c r="I71" s="131">
        <f t="shared" si="4"/>
        <v>275111.53419011575</v>
      </c>
    </row>
    <row r="72" spans="3:9" s="90" customFormat="1">
      <c r="C72" s="168"/>
      <c r="D72" s="101">
        <f t="shared" si="5"/>
        <v>43</v>
      </c>
      <c r="E72" s="248">
        <v>18</v>
      </c>
      <c r="F72" s="249">
        <f t="shared" si="3"/>
        <v>1000</v>
      </c>
      <c r="G72" s="250">
        <f t="shared" si="6"/>
        <v>498927.9663950681</v>
      </c>
      <c r="H72" s="251">
        <f t="shared" si="7"/>
        <v>1.7024330612399046</v>
      </c>
      <c r="I72" s="131">
        <f t="shared" si="4"/>
        <v>293067.5970494207</v>
      </c>
    </row>
    <row r="73" spans="3:9" s="90" customFormat="1">
      <c r="C73" s="168"/>
      <c r="D73" s="101">
        <f t="shared" si="5"/>
        <v>44</v>
      </c>
      <c r="E73" s="248">
        <v>19</v>
      </c>
      <c r="F73" s="249">
        <f t="shared" si="3"/>
        <v>1000</v>
      </c>
      <c r="G73" s="250">
        <f t="shared" si="6"/>
        <v>546233.22118823428</v>
      </c>
      <c r="H73" s="251">
        <f t="shared" si="7"/>
        <v>1.7535060530771018</v>
      </c>
      <c r="I73" s="131">
        <f t="shared" si="4"/>
        <v>311509.17342411727</v>
      </c>
    </row>
    <row r="74" spans="3:9" s="90" customFormat="1">
      <c r="C74" s="168"/>
      <c r="D74" s="101">
        <f t="shared" si="5"/>
        <v>45</v>
      </c>
      <c r="E74" s="248">
        <v>20</v>
      </c>
      <c r="F74" s="249">
        <f t="shared" si="3"/>
        <v>1000</v>
      </c>
      <c r="G74" s="250">
        <f t="shared" si="6"/>
        <v>596849.84381692205</v>
      </c>
      <c r="H74" s="251">
        <f t="shared" si="7"/>
        <v>1.806111234669415</v>
      </c>
      <c r="I74" s="131">
        <f t="shared" si="4"/>
        <v>330461.28741133021</v>
      </c>
    </row>
    <row r="75" spans="3:9" s="90" customFormat="1">
      <c r="C75" s="168"/>
      <c r="D75" s="101">
        <f t="shared" si="5"/>
        <v>46</v>
      </c>
      <c r="E75" s="248">
        <v>21</v>
      </c>
      <c r="F75" s="249">
        <f t="shared" si="3"/>
        <v>1000</v>
      </c>
      <c r="G75" s="250">
        <f t="shared" si="6"/>
        <v>651009.63002961804</v>
      </c>
      <c r="H75" s="251">
        <f t="shared" si="7"/>
        <v>1.8602945717094976</v>
      </c>
      <c r="I75" s="131">
        <f t="shared" si="4"/>
        <v>349949.75523224787</v>
      </c>
    </row>
    <row r="76" spans="3:9" s="90" customFormat="1">
      <c r="C76" s="168"/>
      <c r="D76" s="101">
        <f t="shared" si="5"/>
        <v>47</v>
      </c>
      <c r="E76" s="248">
        <v>22</v>
      </c>
      <c r="F76" s="249">
        <f t="shared" si="3"/>
        <v>1000</v>
      </c>
      <c r="G76" s="250">
        <f t="shared" si="6"/>
        <v>708960.60127720272</v>
      </c>
      <c r="H76" s="251">
        <f t="shared" si="7"/>
        <v>1.9161034088607827</v>
      </c>
      <c r="I76" s="131">
        <f t="shared" si="4"/>
        <v>370001.22122778045</v>
      </c>
    </row>
    <row r="77" spans="3:9" s="90" customFormat="1">
      <c r="C77" s="168"/>
      <c r="D77" s="101">
        <f t="shared" si="5"/>
        <v>48</v>
      </c>
      <c r="E77" s="248">
        <v>23</v>
      </c>
      <c r="F77" s="249">
        <f t="shared" si="3"/>
        <v>1000</v>
      </c>
      <c r="G77" s="250">
        <f t="shared" si="6"/>
        <v>770968.14051211835</v>
      </c>
      <c r="H77" s="251">
        <f t="shared" si="7"/>
        <v>1.9735865111266062</v>
      </c>
      <c r="I77" s="131">
        <f t="shared" si="4"/>
        <v>390643.19509967533</v>
      </c>
    </row>
    <row r="78" spans="3:9" s="90" customFormat="1">
      <c r="C78" s="168"/>
      <c r="D78" s="101">
        <f t="shared" si="5"/>
        <v>49</v>
      </c>
      <c r="E78" s="248">
        <v>24</v>
      </c>
      <c r="F78" s="249">
        <f t="shared" si="3"/>
        <v>1000</v>
      </c>
      <c r="G78" s="250">
        <f t="shared" si="6"/>
        <v>837316.20749347808</v>
      </c>
      <c r="H78" s="251">
        <f t="shared" si="7"/>
        <v>2.0327941064604045</v>
      </c>
      <c r="I78" s="131">
        <f t="shared" si="4"/>
        <v>411904.09044989408</v>
      </c>
    </row>
    <row r="79" spans="3:9" s="90" customFormat="1">
      <c r="C79" s="168"/>
      <c r="D79" s="101">
        <f t="shared" si="5"/>
        <v>50</v>
      </c>
      <c r="E79" s="248">
        <v>25</v>
      </c>
      <c r="F79" s="249">
        <f t="shared" si="3"/>
        <v>1000</v>
      </c>
      <c r="G79" s="250">
        <f t="shared" si="6"/>
        <v>908308.63916353299</v>
      </c>
      <c r="H79" s="251">
        <f t="shared" si="7"/>
        <v>2.0937779296542165</v>
      </c>
      <c r="I79" s="131">
        <f t="shared" si="4"/>
        <v>433813.26467298204</v>
      </c>
    </row>
    <row r="80" spans="3:9" s="90" customFormat="1">
      <c r="C80" s="168"/>
      <c r="D80" s="101">
        <f t="shared" si="5"/>
        <v>51</v>
      </c>
      <c r="E80" s="248">
        <v>26</v>
      </c>
      <c r="F80" s="249">
        <f t="shared" si="3"/>
        <v>1000</v>
      </c>
      <c r="G80" s="250">
        <f t="shared" si="6"/>
        <v>984270.54105049174</v>
      </c>
      <c r="H80" s="251">
        <f t="shared" si="7"/>
        <v>2.1565912675438432</v>
      </c>
      <c r="I80" s="131">
        <f t="shared" si="4"/>
        <v>456401.0602581565</v>
      </c>
    </row>
    <row r="81" spans="3:12">
      <c r="C81" s="168"/>
      <c r="D81" s="101">
        <f t="shared" si="5"/>
        <v>52</v>
      </c>
      <c r="E81" s="248">
        <v>27</v>
      </c>
      <c r="F81" s="249">
        <f t="shared" si="3"/>
        <v>1000</v>
      </c>
      <c r="G81" s="250">
        <f t="shared" si="6"/>
        <v>1065549.7760695377</v>
      </c>
      <c r="H81" s="251">
        <f t="shared" si="7"/>
        <v>2.2212890055701586</v>
      </c>
      <c r="I81" s="131">
        <f t="shared" si="4"/>
        <v>479698.84755992534</v>
      </c>
      <c r="L81" s="90"/>
    </row>
    <row r="82" spans="3:12">
      <c r="C82" s="168"/>
      <c r="D82" s="101">
        <f t="shared" si="5"/>
        <v>53</v>
      </c>
      <c r="E82" s="248">
        <v>28</v>
      </c>
      <c r="F82" s="249">
        <f t="shared" si="3"/>
        <v>1000</v>
      </c>
      <c r="G82" s="250">
        <f t="shared" si="6"/>
        <v>1152518.5575399168</v>
      </c>
      <c r="H82" s="251">
        <f t="shared" si="7"/>
        <v>2.2879276757372633</v>
      </c>
      <c r="I82" s="131">
        <f t="shared" si="4"/>
        <v>503739.06909820851</v>
      </c>
      <c r="L82" s="90"/>
    </row>
    <row r="83" spans="3:12">
      <c r="C83" s="168"/>
      <c r="D83" s="101">
        <f t="shared" si="5"/>
        <v>54</v>
      </c>
      <c r="E83" s="248">
        <v>29</v>
      </c>
      <c r="F83" s="249">
        <f t="shared" si="3"/>
        <v>1000</v>
      </c>
      <c r="G83" s="250">
        <f t="shared" si="6"/>
        <v>1245575.1537132226</v>
      </c>
      <c r="H83" s="251">
        <f t="shared" si="7"/>
        <v>2.3565655060093813</v>
      </c>
      <c r="I83" s="131">
        <f t="shared" si="4"/>
        <v>528555.28545119253</v>
      </c>
      <c r="L83" s="90"/>
    </row>
    <row r="84" spans="3:12">
      <c r="C84" s="168"/>
      <c r="D84" s="101">
        <f t="shared" si="5"/>
        <v>55</v>
      </c>
      <c r="E84" s="248">
        <v>30</v>
      </c>
      <c r="F84" s="249">
        <f t="shared" si="3"/>
        <v>1000</v>
      </c>
      <c r="G84" s="250">
        <f t="shared" si="6"/>
        <v>1345145.7116186598</v>
      </c>
      <c r="H84" s="251">
        <f t="shared" si="7"/>
        <v>2.4272624711896627</v>
      </c>
      <c r="I84" s="131">
        <f t="shared" si="4"/>
        <v>554182.22280648944</v>
      </c>
      <c r="L84" s="90"/>
    </row>
    <row r="85" spans="3:12">
      <c r="C85" s="168"/>
      <c r="D85" s="101">
        <f t="shared" si="5"/>
        <v>56</v>
      </c>
      <c r="E85" s="248">
        <v>31</v>
      </c>
      <c r="F85" s="249">
        <f t="shared" si="3"/>
        <v>1000</v>
      </c>
      <c r="G85" s="250">
        <f t="shared" si="6"/>
        <v>1451686.2085774776</v>
      </c>
      <c r="H85" s="251">
        <f t="shared" si="7"/>
        <v>2.5000803453253524</v>
      </c>
      <c r="I85" s="131">
        <f t="shared" si="4"/>
        <v>580655.82223860885</v>
      </c>
      <c r="L85" s="90"/>
    </row>
    <row r="86" spans="3:12">
      <c r="C86" s="168"/>
      <c r="D86" s="101">
        <f t="shared" si="5"/>
        <v>57</v>
      </c>
      <c r="E86" s="248">
        <v>32</v>
      </c>
      <c r="F86" s="249">
        <f t="shared" si="3"/>
        <v>1000</v>
      </c>
      <c r="G86" s="250">
        <f t="shared" si="6"/>
        <v>1565684.5403234125</v>
      </c>
      <c r="H86" s="251">
        <f t="shared" si="7"/>
        <v>2.5750827556851132</v>
      </c>
      <c r="I86" s="131">
        <f t="shared" si="4"/>
        <v>608013.29078329157</v>
      </c>
      <c r="L86" s="90"/>
    </row>
    <row r="87" spans="3:12">
      <c r="C87" s="168"/>
      <c r="D87" s="101">
        <f t="shared" si="5"/>
        <v>58</v>
      </c>
      <c r="E87" s="248">
        <v>33</v>
      </c>
      <c r="F87" s="249">
        <f t="shared" si="3"/>
        <v>1000</v>
      </c>
      <c r="G87" s="250">
        <f t="shared" si="6"/>
        <v>1687662.755291563</v>
      </c>
      <c r="H87" s="251">
        <f t="shared" si="7"/>
        <v>2.6523352383556666</v>
      </c>
      <c r="I87" s="131">
        <f t="shared" si="4"/>
        <v>636293.15438188764</v>
      </c>
      <c r="L87" s="90"/>
    </row>
    <row r="88" spans="3:12">
      <c r="C88" s="168"/>
      <c r="D88" s="101">
        <f t="shared" si="5"/>
        <v>59</v>
      </c>
      <c r="E88" s="248">
        <v>34</v>
      </c>
      <c r="F88" s="249">
        <f t="shared" si="3"/>
        <v>1000</v>
      </c>
      <c r="G88" s="250">
        <f t="shared" si="6"/>
        <v>1818179.4453074839</v>
      </c>
      <c r="H88" s="251">
        <f t="shared" si="7"/>
        <v>2.7319052955063365</v>
      </c>
      <c r="I88" s="131">
        <f t="shared" si="4"/>
        <v>665535.31277170393</v>
      </c>
      <c r="L88" s="90"/>
    </row>
    <row r="89" spans="3:12">
      <c r="C89" s="168"/>
      <c r="D89" s="101">
        <f t="shared" si="5"/>
        <v>60</v>
      </c>
      <c r="E89" s="248">
        <v>35</v>
      </c>
      <c r="F89" s="249">
        <f t="shared" si="3"/>
        <v>1000</v>
      </c>
      <c r="G89" s="250">
        <f t="shared" si="6"/>
        <v>1957832.3036245194</v>
      </c>
      <c r="H89" s="251">
        <f t="shared" si="7"/>
        <v>2.8138624543715265</v>
      </c>
      <c r="I89" s="131">
        <f t="shared" si="4"/>
        <v>695781.09640110296</v>
      </c>
      <c r="L89" s="90"/>
    </row>
    <row r="90" spans="3:12">
      <c r="C90" s="168"/>
      <c r="D90" s="101">
        <f t="shared" si="5"/>
        <v>61</v>
      </c>
      <c r="E90" s="248">
        <v>36</v>
      </c>
      <c r="F90" s="249">
        <f t="shared" si="3"/>
        <v>1000</v>
      </c>
      <c r="G90" s="250">
        <f t="shared" si="6"/>
        <v>2107260.8620237471</v>
      </c>
      <c r="H90" s="251">
        <f t="shared" si="7"/>
        <v>2.8982783280026725</v>
      </c>
      <c r="I90" s="131">
        <f t="shared" si="4"/>
        <v>727073.32545109652</v>
      </c>
      <c r="L90" s="90"/>
    </row>
    <row r="91" spans="3:12">
      <c r="C91" s="168"/>
      <c r="D91" s="101">
        <f t="shared" si="5"/>
        <v>62</v>
      </c>
      <c r="E91" s="248">
        <v>37</v>
      </c>
      <c r="F91" s="249">
        <f t="shared" si="3"/>
        <v>1000</v>
      </c>
      <c r="G91" s="250">
        <f t="shared" si="6"/>
        <v>2267149.419510921</v>
      </c>
      <c r="H91" s="251">
        <f t="shared" si="7"/>
        <v>2.9852266778427525</v>
      </c>
      <c r="I91" s="131">
        <f t="shared" si="4"/>
        <v>759456.37104826374</v>
      </c>
      <c r="L91" s="90"/>
    </row>
    <row r="92" spans="3:12">
      <c r="C92" s="168"/>
      <c r="D92" s="101">
        <f t="shared" si="5"/>
        <v>63</v>
      </c>
      <c r="E92" s="248">
        <v>38</v>
      </c>
      <c r="F92" s="249">
        <f t="shared" si="3"/>
        <v>1000</v>
      </c>
      <c r="G92" s="250">
        <f t="shared" si="6"/>
        <v>2438230.1760221971</v>
      </c>
      <c r="H92" s="251">
        <f t="shared" si="7"/>
        <v>3.074783478178035</v>
      </c>
      <c r="I92" s="131">
        <f t="shared" si="4"/>
        <v>792976.21875702671</v>
      </c>
      <c r="L92" s="90"/>
    </row>
    <row r="93" spans="3:12">
      <c r="C93" s="168"/>
      <c r="D93" s="101">
        <f t="shared" si="5"/>
        <v>64</v>
      </c>
      <c r="E93" s="248">
        <v>39</v>
      </c>
      <c r="F93" s="249">
        <f t="shared" si="3"/>
        <v>1000</v>
      </c>
      <c r="G93" s="250">
        <f t="shared" si="6"/>
        <v>2621286.5854892624</v>
      </c>
      <c r="H93" s="251">
        <f t="shared" si="7"/>
        <v>3.1670269825233763</v>
      </c>
      <c r="I93" s="131">
        <f t="shared" si="4"/>
        <v>827680.53444265667</v>
      </c>
      <c r="L93" s="90"/>
    </row>
    <row r="94" spans="3:12">
      <c r="C94" s="168"/>
      <c r="D94" s="101">
        <f t="shared" si="5"/>
        <v>65</v>
      </c>
      <c r="E94" s="248">
        <v>40</v>
      </c>
      <c r="F94" s="249">
        <f t="shared" si="3"/>
        <v>1000</v>
      </c>
      <c r="G94" s="250">
        <f t="shared" si="6"/>
        <v>2817156.9436190226</v>
      </c>
      <c r="H94" s="251">
        <f t="shared" si="7"/>
        <v>3.2620377919990777</v>
      </c>
      <c r="I94" s="131">
        <f t="shared" si="4"/>
        <v>863618.73259983957</v>
      </c>
      <c r="L94" s="90"/>
    </row>
    <row r="95" spans="3:12" ht="15.75" thickBot="1">
      <c r="C95" s="169"/>
      <c r="D95" s="252">
        <f t="shared" si="5"/>
        <v>66</v>
      </c>
      <c r="E95" s="253">
        <v>41</v>
      </c>
      <c r="F95" s="254">
        <f t="shared" si="3"/>
        <v>1000</v>
      </c>
      <c r="G95" s="255">
        <f t="shared" si="6"/>
        <v>3026738.2268178659</v>
      </c>
      <c r="H95" s="256">
        <f t="shared" si="7"/>
        <v>3.3598989257590501</v>
      </c>
      <c r="I95" s="136">
        <f t="shared" si="4"/>
        <v>900842.04724524019</v>
      </c>
      <c r="L95" s="90"/>
    </row>
    <row r="96" spans="3:12">
      <c r="C96" s="97"/>
      <c r="E96" s="92"/>
      <c r="F96" s="170"/>
      <c r="G96" s="171"/>
      <c r="H96" s="172"/>
      <c r="I96" s="119"/>
    </row>
    <row r="97" spans="3:9">
      <c r="C97" s="97"/>
      <c r="E97" s="92"/>
      <c r="F97" s="170"/>
      <c r="G97" s="171"/>
      <c r="H97" s="172"/>
      <c r="I97" s="119"/>
    </row>
  </sheetData>
  <mergeCells count="16">
    <mergeCell ref="F37:G37"/>
    <mergeCell ref="F38:G38"/>
    <mergeCell ref="F31:G31"/>
    <mergeCell ref="D31:E31"/>
    <mergeCell ref="F32:G32"/>
    <mergeCell ref="F33:G33"/>
    <mergeCell ref="F34:G34"/>
    <mergeCell ref="F35:G35"/>
    <mergeCell ref="F36:G36"/>
    <mergeCell ref="D38:E38"/>
    <mergeCell ref="D32:E32"/>
    <mergeCell ref="D33:E33"/>
    <mergeCell ref="D34:E34"/>
    <mergeCell ref="D35:E35"/>
    <mergeCell ref="D36:E36"/>
    <mergeCell ref="D37:E37"/>
  </mergeCells>
  <pageMargins left="0.7" right="0.7" top="0.75" bottom="0.75" header="0.511811023622047" footer="0.511811023622047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D134-DCDA-41E1-B89D-3B8F053029B6}">
  <dimension ref="A1:AH44"/>
  <sheetViews>
    <sheetView showGridLines="0" tabSelected="1" zoomScale="85" zoomScaleNormal="85" workbookViewId="0">
      <pane xSplit="3" topLeftCell="D1" activePane="topRight" state="frozen"/>
      <selection pane="topRight" activeCell="B6" sqref="B6"/>
    </sheetView>
  </sheetViews>
  <sheetFormatPr defaultColWidth="9.140625" defaultRowHeight="15"/>
  <cols>
    <col min="1" max="1" width="8.140625" style="45" customWidth="1"/>
    <col min="2" max="2" width="17.85546875" style="45" customWidth="1"/>
    <col min="3" max="3" width="21.42578125" style="51" customWidth="1"/>
    <col min="4" max="33" width="8.28515625" style="45" customWidth="1"/>
    <col min="34" max="34" width="81.140625" style="45" bestFit="1" customWidth="1"/>
    <col min="35" max="206" width="12.140625" style="45" customWidth="1"/>
    <col min="207" max="974" width="12.28515625" style="45" customWidth="1"/>
    <col min="975" max="16384" width="9.140625" style="45"/>
  </cols>
  <sheetData>
    <row r="1" spans="1:34" ht="15.75" thickBot="1"/>
    <row r="2" spans="1:34" ht="15.75" thickBot="1">
      <c r="B2" s="235" t="s">
        <v>179</v>
      </c>
      <c r="C2" s="236" t="s">
        <v>44</v>
      </c>
      <c r="D2" s="224"/>
      <c r="E2" s="311" t="s">
        <v>176</v>
      </c>
      <c r="F2" s="312"/>
      <c r="G2" s="312"/>
      <c r="H2" s="312"/>
      <c r="I2" s="313"/>
      <c r="J2" s="185"/>
    </row>
    <row r="3" spans="1:34">
      <c r="B3" s="233" t="s">
        <v>34</v>
      </c>
      <c r="C3" s="234">
        <v>1.02</v>
      </c>
    </row>
    <row r="4" spans="1:34">
      <c r="A4" s="225"/>
      <c r="B4" s="227" t="s">
        <v>71</v>
      </c>
      <c r="C4" s="228">
        <v>1.05</v>
      </c>
    </row>
    <row r="5" spans="1:34">
      <c r="A5" s="225"/>
      <c r="B5" s="227" t="s">
        <v>39</v>
      </c>
      <c r="C5" s="228">
        <v>1.0900000000000001</v>
      </c>
    </row>
    <row r="6" spans="1:34">
      <c r="A6" s="225"/>
      <c r="B6" s="227" t="s">
        <v>213</v>
      </c>
      <c r="C6" s="228">
        <v>15</v>
      </c>
    </row>
    <row r="7" spans="1:34">
      <c r="A7" s="225"/>
      <c r="B7" s="227" t="s">
        <v>214</v>
      </c>
      <c r="C7" s="228">
        <v>40</v>
      </c>
    </row>
    <row r="8" spans="1:34" ht="15.75" thickBot="1">
      <c r="A8" s="226"/>
      <c r="B8" s="229" t="s">
        <v>180</v>
      </c>
      <c r="C8" s="230">
        <v>1.05</v>
      </c>
    </row>
    <row r="9" spans="1:34">
      <c r="B9" s="51"/>
      <c r="C9" s="45"/>
    </row>
    <row r="10" spans="1:34" ht="15.75" thickBot="1">
      <c r="B10" s="231" t="s">
        <v>175</v>
      </c>
      <c r="D10" s="232" t="s">
        <v>72</v>
      </c>
      <c r="G10" s="232" t="s">
        <v>73</v>
      </c>
      <c r="I10" s="232" t="s">
        <v>74</v>
      </c>
      <c r="Y10" s="232" t="s">
        <v>177</v>
      </c>
      <c r="AA10" s="232" t="s">
        <v>178</v>
      </c>
      <c r="AG10" s="45" t="s">
        <v>11</v>
      </c>
    </row>
    <row r="11" spans="1:34" ht="14.25" customHeight="1" thickBot="1">
      <c r="B11" s="314" t="s">
        <v>75</v>
      </c>
      <c r="C11" s="53" t="s">
        <v>68</v>
      </c>
      <c r="D11" s="54">
        <v>2030</v>
      </c>
      <c r="E11" s="54">
        <f t="shared" ref="E11:T12" si="0">D11+1</f>
        <v>2031</v>
      </c>
      <c r="F11" s="54">
        <f t="shared" si="0"/>
        <v>2032</v>
      </c>
      <c r="G11" s="54">
        <f t="shared" si="0"/>
        <v>2033</v>
      </c>
      <c r="H11" s="54">
        <f t="shared" si="0"/>
        <v>2034</v>
      </c>
      <c r="I11" s="54">
        <f t="shared" si="0"/>
        <v>2035</v>
      </c>
      <c r="J11" s="54">
        <f t="shared" si="0"/>
        <v>2036</v>
      </c>
      <c r="K11" s="54">
        <f t="shared" si="0"/>
        <v>2037</v>
      </c>
      <c r="L11" s="54">
        <f t="shared" si="0"/>
        <v>2038</v>
      </c>
      <c r="M11" s="54">
        <f t="shared" si="0"/>
        <v>2039</v>
      </c>
      <c r="N11" s="54">
        <f t="shared" si="0"/>
        <v>2040</v>
      </c>
      <c r="O11" s="54">
        <f t="shared" si="0"/>
        <v>2041</v>
      </c>
      <c r="P11" s="54">
        <f t="shared" si="0"/>
        <v>2042</v>
      </c>
      <c r="Q11" s="54">
        <f t="shared" si="0"/>
        <v>2043</v>
      </c>
      <c r="R11" s="54">
        <f t="shared" si="0"/>
        <v>2044</v>
      </c>
      <c r="S11" s="54">
        <f t="shared" si="0"/>
        <v>2045</v>
      </c>
      <c r="T11" s="54">
        <f t="shared" si="0"/>
        <v>2046</v>
      </c>
      <c r="U11" s="54">
        <f t="shared" ref="U11:AG12" si="1">T11+1</f>
        <v>2047</v>
      </c>
      <c r="V11" s="54">
        <f t="shared" si="1"/>
        <v>2048</v>
      </c>
      <c r="W11" s="54">
        <f t="shared" si="1"/>
        <v>2049</v>
      </c>
      <c r="X11" s="54">
        <f t="shared" si="1"/>
        <v>2050</v>
      </c>
      <c r="Y11" s="54">
        <f t="shared" si="1"/>
        <v>2051</v>
      </c>
      <c r="Z11" s="54">
        <f t="shared" si="1"/>
        <v>2052</v>
      </c>
      <c r="AA11" s="54">
        <f t="shared" si="1"/>
        <v>2053</v>
      </c>
      <c r="AB11" s="54">
        <f t="shared" si="1"/>
        <v>2054</v>
      </c>
      <c r="AC11" s="54">
        <f t="shared" si="1"/>
        <v>2055</v>
      </c>
      <c r="AD11" s="54">
        <f t="shared" si="1"/>
        <v>2056</v>
      </c>
      <c r="AE11" s="54">
        <f t="shared" si="1"/>
        <v>2057</v>
      </c>
      <c r="AF11" s="54">
        <f t="shared" si="1"/>
        <v>2058</v>
      </c>
      <c r="AG11" s="55">
        <f t="shared" si="1"/>
        <v>2059</v>
      </c>
      <c r="AH11" s="46" t="s">
        <v>8</v>
      </c>
    </row>
    <row r="12" spans="1:34">
      <c r="B12" s="315"/>
      <c r="C12" s="56" t="s">
        <v>76</v>
      </c>
      <c r="D12" s="57">
        <f>D11-1994</f>
        <v>36</v>
      </c>
      <c r="E12" s="58">
        <f t="shared" si="0"/>
        <v>37</v>
      </c>
      <c r="F12" s="58">
        <f t="shared" si="0"/>
        <v>38</v>
      </c>
      <c r="G12" s="58">
        <f t="shared" si="0"/>
        <v>39</v>
      </c>
      <c r="H12" s="58">
        <f t="shared" si="0"/>
        <v>40</v>
      </c>
      <c r="I12" s="58">
        <f t="shared" si="0"/>
        <v>41</v>
      </c>
      <c r="J12" s="58">
        <f t="shared" si="0"/>
        <v>42</v>
      </c>
      <c r="K12" s="58">
        <f t="shared" si="0"/>
        <v>43</v>
      </c>
      <c r="L12" s="58">
        <f t="shared" si="0"/>
        <v>44</v>
      </c>
      <c r="M12" s="58">
        <f t="shared" si="0"/>
        <v>45</v>
      </c>
      <c r="N12" s="58">
        <f t="shared" si="0"/>
        <v>46</v>
      </c>
      <c r="O12" s="58">
        <f t="shared" si="0"/>
        <v>47</v>
      </c>
      <c r="P12" s="58">
        <f t="shared" si="0"/>
        <v>48</v>
      </c>
      <c r="Q12" s="58">
        <f t="shared" si="0"/>
        <v>49</v>
      </c>
      <c r="R12" s="58">
        <f t="shared" si="0"/>
        <v>50</v>
      </c>
      <c r="S12" s="58">
        <f t="shared" si="0"/>
        <v>51</v>
      </c>
      <c r="T12" s="58">
        <f t="shared" si="0"/>
        <v>52</v>
      </c>
      <c r="U12" s="58">
        <f t="shared" si="1"/>
        <v>53</v>
      </c>
      <c r="V12" s="58">
        <f t="shared" si="1"/>
        <v>54</v>
      </c>
      <c r="W12" s="58">
        <f t="shared" si="1"/>
        <v>55</v>
      </c>
      <c r="X12" s="58">
        <f t="shared" si="1"/>
        <v>56</v>
      </c>
      <c r="Y12" s="58">
        <f t="shared" si="1"/>
        <v>57</v>
      </c>
      <c r="Z12" s="58">
        <f t="shared" si="1"/>
        <v>58</v>
      </c>
      <c r="AA12" s="58">
        <f t="shared" si="1"/>
        <v>59</v>
      </c>
      <c r="AB12" s="58">
        <f t="shared" si="1"/>
        <v>60</v>
      </c>
      <c r="AC12" s="58">
        <f t="shared" si="1"/>
        <v>61</v>
      </c>
      <c r="AD12" s="58">
        <f t="shared" si="1"/>
        <v>62</v>
      </c>
      <c r="AE12" s="58">
        <f t="shared" si="1"/>
        <v>63</v>
      </c>
      <c r="AF12" s="58">
        <f t="shared" si="1"/>
        <v>64</v>
      </c>
      <c r="AG12" s="58">
        <f t="shared" si="1"/>
        <v>65</v>
      </c>
      <c r="AH12" s="47"/>
    </row>
    <row r="13" spans="1:34">
      <c r="B13" s="315"/>
      <c r="C13" s="59" t="s">
        <v>77</v>
      </c>
      <c r="D13" s="52"/>
      <c r="E13" s="52"/>
      <c r="F13" s="52"/>
      <c r="G13" s="52">
        <v>0</v>
      </c>
      <c r="H13" s="52">
        <v>1</v>
      </c>
      <c r="I13" s="52">
        <v>2</v>
      </c>
      <c r="J13" s="52">
        <v>3</v>
      </c>
      <c r="K13" s="52">
        <v>4</v>
      </c>
      <c r="L13" s="52">
        <v>5</v>
      </c>
      <c r="M13" s="52">
        <v>6</v>
      </c>
      <c r="N13" s="52">
        <v>7</v>
      </c>
      <c r="O13" s="52">
        <v>8</v>
      </c>
      <c r="P13" s="52">
        <v>9</v>
      </c>
      <c r="Q13" s="52">
        <v>10</v>
      </c>
      <c r="R13" s="52">
        <v>11</v>
      </c>
      <c r="S13" s="52">
        <v>12</v>
      </c>
      <c r="T13" s="52">
        <v>13</v>
      </c>
      <c r="U13" s="52">
        <v>14</v>
      </c>
      <c r="V13" s="52">
        <v>15</v>
      </c>
      <c r="W13" s="52">
        <v>16</v>
      </c>
      <c r="X13" s="52">
        <v>17</v>
      </c>
      <c r="Y13" s="60">
        <v>18</v>
      </c>
      <c r="Z13" s="52">
        <v>19</v>
      </c>
      <c r="AA13" s="52">
        <v>20</v>
      </c>
      <c r="AB13" s="52">
        <v>21</v>
      </c>
      <c r="AC13" s="52">
        <v>22</v>
      </c>
      <c r="AD13" s="52">
        <v>23</v>
      </c>
      <c r="AE13" s="52">
        <v>24</v>
      </c>
      <c r="AF13" s="52">
        <v>25</v>
      </c>
      <c r="AG13" s="52">
        <v>26</v>
      </c>
      <c r="AH13" s="48"/>
    </row>
    <row r="14" spans="1:34">
      <c r="B14" s="315"/>
      <c r="C14" s="59" t="s">
        <v>78</v>
      </c>
      <c r="D14" s="52"/>
      <c r="E14" s="52"/>
      <c r="F14" s="52"/>
      <c r="G14" s="52"/>
      <c r="H14" s="52"/>
      <c r="I14" s="52">
        <v>0</v>
      </c>
      <c r="J14" s="52">
        <v>1</v>
      </c>
      <c r="K14" s="52">
        <v>2</v>
      </c>
      <c r="L14" s="52">
        <v>3</v>
      </c>
      <c r="M14" s="52">
        <v>4</v>
      </c>
      <c r="N14" s="52">
        <v>5</v>
      </c>
      <c r="O14" s="52">
        <v>6</v>
      </c>
      <c r="P14" s="52">
        <v>7</v>
      </c>
      <c r="Q14" s="52">
        <v>8</v>
      </c>
      <c r="R14" s="52">
        <v>9</v>
      </c>
      <c r="S14" s="52">
        <v>10</v>
      </c>
      <c r="T14" s="52">
        <v>11</v>
      </c>
      <c r="U14" s="52">
        <v>12</v>
      </c>
      <c r="V14" s="52">
        <v>13</v>
      </c>
      <c r="W14" s="52">
        <v>14</v>
      </c>
      <c r="X14" s="52">
        <v>15</v>
      </c>
      <c r="Y14" s="52">
        <v>16</v>
      </c>
      <c r="Z14" s="52">
        <v>17</v>
      </c>
      <c r="AA14" s="60">
        <v>18</v>
      </c>
      <c r="AB14" s="52">
        <v>19</v>
      </c>
      <c r="AC14" s="52">
        <v>20</v>
      </c>
      <c r="AD14" s="52">
        <v>21</v>
      </c>
      <c r="AE14" s="52">
        <v>22</v>
      </c>
      <c r="AF14" s="52">
        <v>23</v>
      </c>
      <c r="AG14" s="52">
        <v>24</v>
      </c>
      <c r="AH14" s="48"/>
    </row>
    <row r="15" spans="1:34" s="50" customFormat="1">
      <c r="B15" s="315"/>
      <c r="C15" s="61" t="s">
        <v>79</v>
      </c>
      <c r="D15" s="62">
        <v>1</v>
      </c>
      <c r="E15" s="62">
        <f t="shared" ref="E15:AG15" si="2">D15*$C$8</f>
        <v>1.05</v>
      </c>
      <c r="F15" s="62">
        <f t="shared" si="2"/>
        <v>1.1025</v>
      </c>
      <c r="G15" s="62">
        <f t="shared" si="2"/>
        <v>1.1576250000000001</v>
      </c>
      <c r="H15" s="62">
        <f t="shared" si="2"/>
        <v>1.2155062500000002</v>
      </c>
      <c r="I15" s="62">
        <f t="shared" si="2"/>
        <v>1.2762815625000004</v>
      </c>
      <c r="J15" s="62">
        <f t="shared" si="2"/>
        <v>1.3400956406250004</v>
      </c>
      <c r="K15" s="62">
        <f t="shared" si="2"/>
        <v>1.4071004226562505</v>
      </c>
      <c r="L15" s="62">
        <f t="shared" si="2"/>
        <v>1.477455443789063</v>
      </c>
      <c r="M15" s="62">
        <f t="shared" si="2"/>
        <v>1.5513282159785162</v>
      </c>
      <c r="N15" s="62">
        <f t="shared" si="2"/>
        <v>1.628894626777442</v>
      </c>
      <c r="O15" s="62">
        <f t="shared" si="2"/>
        <v>1.7103393581163142</v>
      </c>
      <c r="P15" s="62">
        <f t="shared" si="2"/>
        <v>1.7958563260221301</v>
      </c>
      <c r="Q15" s="62">
        <f t="shared" si="2"/>
        <v>1.8856491423232367</v>
      </c>
      <c r="R15" s="62">
        <f t="shared" si="2"/>
        <v>1.9799315994393987</v>
      </c>
      <c r="S15" s="62">
        <f t="shared" si="2"/>
        <v>2.0789281794113688</v>
      </c>
      <c r="T15" s="62">
        <f t="shared" si="2"/>
        <v>2.1828745883819374</v>
      </c>
      <c r="U15" s="62">
        <f t="shared" si="2"/>
        <v>2.2920183178010345</v>
      </c>
      <c r="V15" s="62">
        <f t="shared" si="2"/>
        <v>2.4066192336910861</v>
      </c>
      <c r="W15" s="62">
        <f t="shared" si="2"/>
        <v>2.5269501953756404</v>
      </c>
      <c r="X15" s="62">
        <f t="shared" si="2"/>
        <v>2.6532977051444226</v>
      </c>
      <c r="Y15" s="62">
        <f t="shared" si="2"/>
        <v>2.7859625904016441</v>
      </c>
      <c r="Z15" s="62">
        <f t="shared" si="2"/>
        <v>2.9252607199217264</v>
      </c>
      <c r="AA15" s="62">
        <f t="shared" si="2"/>
        <v>3.0715237559178128</v>
      </c>
      <c r="AB15" s="62">
        <f t="shared" si="2"/>
        <v>3.2250999437137038</v>
      </c>
      <c r="AC15" s="62">
        <f t="shared" si="2"/>
        <v>3.3863549408993889</v>
      </c>
      <c r="AD15" s="62">
        <f t="shared" si="2"/>
        <v>3.5556726879443583</v>
      </c>
      <c r="AE15" s="62">
        <f t="shared" si="2"/>
        <v>3.7334563223415764</v>
      </c>
      <c r="AF15" s="62">
        <f t="shared" si="2"/>
        <v>3.9201291384586554</v>
      </c>
      <c r="AG15" s="62">
        <f t="shared" si="2"/>
        <v>4.1161355953815884</v>
      </c>
      <c r="AH15" s="49"/>
    </row>
    <row r="16" spans="1:34" s="66" customFormat="1" ht="15.75" thickBot="1">
      <c r="B16" s="316"/>
      <c r="C16" s="64" t="s">
        <v>80</v>
      </c>
      <c r="D16" s="65">
        <v>1</v>
      </c>
      <c r="E16" s="65">
        <f t="shared" ref="E16:T17" si="3">D16*$C$3</f>
        <v>1.02</v>
      </c>
      <c r="F16" s="65">
        <f t="shared" si="3"/>
        <v>1.0404</v>
      </c>
      <c r="G16" s="65">
        <f t="shared" si="3"/>
        <v>1.0612079999999999</v>
      </c>
      <c r="H16" s="65">
        <f t="shared" si="3"/>
        <v>1.08243216</v>
      </c>
      <c r="I16" s="65">
        <f t="shared" si="3"/>
        <v>1.1040808032</v>
      </c>
      <c r="J16" s="65">
        <f t="shared" si="3"/>
        <v>1.1261624192640001</v>
      </c>
      <c r="K16" s="65">
        <f t="shared" si="3"/>
        <v>1.14868566764928</v>
      </c>
      <c r="L16" s="65">
        <f t="shared" si="3"/>
        <v>1.1716593810022657</v>
      </c>
      <c r="M16" s="65">
        <f t="shared" si="3"/>
        <v>1.1950925686223111</v>
      </c>
      <c r="N16" s="65">
        <f t="shared" si="3"/>
        <v>1.2189944199947573</v>
      </c>
      <c r="O16" s="65">
        <f t="shared" si="3"/>
        <v>1.2433743083946525</v>
      </c>
      <c r="P16" s="65">
        <f t="shared" si="3"/>
        <v>1.2682417945625455</v>
      </c>
      <c r="Q16" s="65">
        <f t="shared" si="3"/>
        <v>1.2936066304537963</v>
      </c>
      <c r="R16" s="65">
        <f t="shared" si="3"/>
        <v>1.3194787630628724</v>
      </c>
      <c r="S16" s="65">
        <f t="shared" si="3"/>
        <v>1.3458683383241299</v>
      </c>
      <c r="T16" s="65">
        <f t="shared" si="3"/>
        <v>1.3727857050906125</v>
      </c>
      <c r="U16" s="65">
        <f t="shared" ref="U16:AG17" si="4">T16*$C$3</f>
        <v>1.4002414191924248</v>
      </c>
      <c r="V16" s="65">
        <f t="shared" si="4"/>
        <v>1.4282462475762734</v>
      </c>
      <c r="W16" s="65">
        <f t="shared" si="4"/>
        <v>1.4568111725277988</v>
      </c>
      <c r="X16" s="65">
        <f t="shared" si="4"/>
        <v>1.4859473959783549</v>
      </c>
      <c r="Y16" s="65">
        <f t="shared" si="4"/>
        <v>1.5156663438979221</v>
      </c>
      <c r="Z16" s="65">
        <f t="shared" si="4"/>
        <v>1.5459796707758806</v>
      </c>
      <c r="AA16" s="65">
        <f t="shared" si="4"/>
        <v>1.5768992641913981</v>
      </c>
      <c r="AB16" s="65">
        <f t="shared" si="4"/>
        <v>1.6084372494752261</v>
      </c>
      <c r="AC16" s="65">
        <f t="shared" si="4"/>
        <v>1.6406059944647307</v>
      </c>
      <c r="AD16" s="65">
        <f t="shared" si="4"/>
        <v>1.6734181143540252</v>
      </c>
      <c r="AE16" s="65">
        <f t="shared" si="4"/>
        <v>1.7068864766411058</v>
      </c>
      <c r="AF16" s="65">
        <f t="shared" si="4"/>
        <v>1.7410242061739281</v>
      </c>
      <c r="AG16" s="65">
        <f t="shared" si="4"/>
        <v>1.7758446902974065</v>
      </c>
      <c r="AH16" s="63"/>
    </row>
    <row r="17" spans="2:34" s="51" customFormat="1">
      <c r="B17" s="317" t="s">
        <v>29</v>
      </c>
      <c r="C17" s="68" t="s">
        <v>195</v>
      </c>
      <c r="D17" s="69">
        <v>80</v>
      </c>
      <c r="E17" s="69">
        <f t="shared" si="3"/>
        <v>81.599999999999994</v>
      </c>
      <c r="F17" s="69">
        <f t="shared" si="3"/>
        <v>83.231999999999999</v>
      </c>
      <c r="G17" s="69">
        <f t="shared" si="3"/>
        <v>84.896640000000005</v>
      </c>
      <c r="H17" s="69">
        <f t="shared" si="3"/>
        <v>86.594572800000009</v>
      </c>
      <c r="I17" s="69">
        <f t="shared" si="3"/>
        <v>88.326464256000008</v>
      </c>
      <c r="J17" s="69">
        <f t="shared" si="3"/>
        <v>90.092993541120009</v>
      </c>
      <c r="K17" s="69">
        <f t="shared" si="3"/>
        <v>91.894853411942407</v>
      </c>
      <c r="L17" s="69">
        <f t="shared" si="3"/>
        <v>93.732750480181252</v>
      </c>
      <c r="M17" s="69">
        <f t="shared" si="3"/>
        <v>95.607405489784881</v>
      </c>
      <c r="N17" s="69">
        <f t="shared" si="3"/>
        <v>97.519553599580576</v>
      </c>
      <c r="O17" s="69">
        <f t="shared" si="3"/>
        <v>99.469944671572193</v>
      </c>
      <c r="P17" s="69">
        <f t="shared" si="3"/>
        <v>101.45934356500364</v>
      </c>
      <c r="Q17" s="69">
        <f t="shared" si="3"/>
        <v>103.48853043630371</v>
      </c>
      <c r="R17" s="69">
        <f t="shared" si="3"/>
        <v>105.55830104502978</v>
      </c>
      <c r="S17" s="69">
        <f t="shared" si="3"/>
        <v>107.66946706593038</v>
      </c>
      <c r="T17" s="69">
        <f t="shared" si="3"/>
        <v>109.82285640724899</v>
      </c>
      <c r="U17" s="69">
        <f t="shared" si="4"/>
        <v>112.01931353539398</v>
      </c>
      <c r="V17" s="69">
        <f t="shared" si="4"/>
        <v>114.25969980610186</v>
      </c>
      <c r="W17" s="69">
        <f t="shared" si="4"/>
        <v>116.5448938022239</v>
      </c>
      <c r="X17" s="69">
        <f t="shared" si="4"/>
        <v>118.87579167826837</v>
      </c>
      <c r="Y17" s="69">
        <f t="shared" si="4"/>
        <v>121.25330751183374</v>
      </c>
      <c r="Z17" s="69">
        <f t="shared" si="4"/>
        <v>123.67837366207041</v>
      </c>
      <c r="AA17" s="69">
        <f t="shared" si="4"/>
        <v>126.15194113531183</v>
      </c>
      <c r="AB17" s="69">
        <f t="shared" si="4"/>
        <v>128.67497995801807</v>
      </c>
      <c r="AC17" s="69">
        <f t="shared" si="4"/>
        <v>131.24847955717843</v>
      </c>
      <c r="AD17" s="69">
        <f t="shared" si="4"/>
        <v>133.87344914832201</v>
      </c>
      <c r="AE17" s="69">
        <f t="shared" si="4"/>
        <v>136.55091813128846</v>
      </c>
      <c r="AF17" s="69">
        <f t="shared" si="4"/>
        <v>139.28193649391423</v>
      </c>
      <c r="AG17" s="70">
        <f t="shared" si="4"/>
        <v>142.06757522379252</v>
      </c>
      <c r="AH17" s="67"/>
    </row>
    <row r="18" spans="2:34" s="51" customFormat="1" ht="15.75" customHeight="1" thickBot="1">
      <c r="B18" s="318"/>
      <c r="C18" s="71" t="s">
        <v>132</v>
      </c>
      <c r="D18" s="72">
        <f>D20*($C$4-1)</f>
        <v>0.25000000000000022</v>
      </c>
      <c r="E18" s="72">
        <f t="shared" ref="E18:AG18" si="5">E20*($C$4-1)</f>
        <v>0.26250000000000023</v>
      </c>
      <c r="F18" s="72">
        <f t="shared" si="5"/>
        <v>0.27562500000000023</v>
      </c>
      <c r="G18" s="72">
        <f t="shared" si="5"/>
        <v>0.28940625000000031</v>
      </c>
      <c r="H18" s="72">
        <f t="shared" si="5"/>
        <v>0.30387656250000034</v>
      </c>
      <c r="I18" s="72">
        <f t="shared" si="5"/>
        <v>0.31907039062500037</v>
      </c>
      <c r="J18" s="72">
        <f t="shared" si="5"/>
        <v>0.33502391015625044</v>
      </c>
      <c r="K18" s="72">
        <f t="shared" si="5"/>
        <v>0.35177510566406295</v>
      </c>
      <c r="L18" s="72">
        <f t="shared" si="5"/>
        <v>0.36936386094726614</v>
      </c>
      <c r="M18" s="72">
        <f t="shared" si="5"/>
        <v>0.38783205399462944</v>
      </c>
      <c r="N18" s="72">
        <f t="shared" si="5"/>
        <v>0.40722365669436095</v>
      </c>
      <c r="O18" s="72">
        <f t="shared" si="5"/>
        <v>0.42758483952907905</v>
      </c>
      <c r="P18" s="72">
        <f t="shared" si="5"/>
        <v>0.44896408150553302</v>
      </c>
      <c r="Q18" s="72">
        <f t="shared" si="5"/>
        <v>0.47141228558080966</v>
      </c>
      <c r="R18" s="72">
        <f t="shared" si="5"/>
        <v>0.49498289985985017</v>
      </c>
      <c r="S18" s="72">
        <f t="shared" si="5"/>
        <v>0.51973204485284275</v>
      </c>
      <c r="T18" s="72">
        <f t="shared" si="5"/>
        <v>0.5457186470954849</v>
      </c>
      <c r="U18" s="72">
        <f t="shared" si="5"/>
        <v>0.57300457945025918</v>
      </c>
      <c r="V18" s="72">
        <f t="shared" si="5"/>
        <v>0.60165480842277219</v>
      </c>
      <c r="W18" s="72">
        <f t="shared" si="5"/>
        <v>0.63173754884391087</v>
      </c>
      <c r="X18" s="72">
        <f t="shared" si="5"/>
        <v>0.66332442628610633</v>
      </c>
      <c r="Y18" s="72">
        <f t="shared" si="5"/>
        <v>0.69649064760041168</v>
      </c>
      <c r="Z18" s="72">
        <f t="shared" si="5"/>
        <v>0.73131517998043227</v>
      </c>
      <c r="AA18" s="72">
        <f t="shared" si="5"/>
        <v>0.76788093897945398</v>
      </c>
      <c r="AB18" s="72">
        <f t="shared" si="5"/>
        <v>0.80627498592842672</v>
      </c>
      <c r="AC18" s="72">
        <f t="shared" si="5"/>
        <v>0.84658873522484801</v>
      </c>
      <c r="AD18" s="72">
        <f t="shared" si="5"/>
        <v>0.88891817198609047</v>
      </c>
      <c r="AE18" s="72">
        <f t="shared" si="5"/>
        <v>0.93336408058539511</v>
      </c>
      <c r="AF18" s="72">
        <f t="shared" si="5"/>
        <v>0.98003228461466485</v>
      </c>
      <c r="AG18" s="73">
        <f t="shared" si="5"/>
        <v>1.0290338988453982</v>
      </c>
      <c r="AH18" s="67"/>
    </row>
    <row r="19" spans="2:34">
      <c r="B19" s="317" t="s">
        <v>81</v>
      </c>
      <c r="C19" s="68" t="s">
        <v>133</v>
      </c>
      <c r="D19" s="74">
        <v>10</v>
      </c>
      <c r="E19" s="274">
        <f t="shared" ref="E19:AG19" si="6">SUM(D19*$C$5+D17-SUM(D23:D24))</f>
        <v>50.900000000000006</v>
      </c>
      <c r="F19" s="274">
        <f t="shared" si="6"/>
        <v>96.28100000000002</v>
      </c>
      <c r="G19" s="274">
        <f t="shared" si="6"/>
        <v>146.56229000000002</v>
      </c>
      <c r="H19" s="274">
        <f t="shared" si="6"/>
        <v>186.28309610000002</v>
      </c>
      <c r="I19" s="274">
        <f t="shared" si="6"/>
        <v>230.10937874900006</v>
      </c>
      <c r="J19" s="274">
        <f t="shared" si="6"/>
        <v>261.86003086841004</v>
      </c>
      <c r="K19" s="274">
        <f t="shared" si="6"/>
        <v>296.68905783920695</v>
      </c>
      <c r="L19" s="274">
        <f t="shared" si="6"/>
        <v>334.87792972122838</v>
      </c>
      <c r="M19" s="274">
        <f t="shared" si="6"/>
        <v>376.7335372061616</v>
      </c>
      <c r="N19" s="274">
        <f t="shared" si="6"/>
        <v>422.59048124093931</v>
      </c>
      <c r="O19" s="274">
        <f t="shared" si="6"/>
        <v>472.81356875257143</v>
      </c>
      <c r="P19" s="274">
        <f t="shared" si="6"/>
        <v>527.80053302424938</v>
      </c>
      <c r="Q19" s="274">
        <f t="shared" si="6"/>
        <v>587.98499894205736</v>
      </c>
      <c r="R19" s="274">
        <f t="shared" si="6"/>
        <v>653.83971515138046</v>
      </c>
      <c r="S19" s="274">
        <f t="shared" si="6"/>
        <v>725.88007714563355</v>
      </c>
      <c r="T19" s="274">
        <f t="shared" si="6"/>
        <v>804.66796747198191</v>
      </c>
      <c r="U19" s="274">
        <f t="shared" si="6"/>
        <v>890.81594159536644</v>
      </c>
      <c r="V19" s="274">
        <f t="shared" si="6"/>
        <v>984.99179053087369</v>
      </c>
      <c r="W19" s="274">
        <f t="shared" si="6"/>
        <v>1087.9235141544152</v>
      </c>
      <c r="X19" s="274">
        <f t="shared" si="6"/>
        <v>1200.4047421535906</v>
      </c>
      <c r="Y19" s="274">
        <f t="shared" si="6"/>
        <v>1323.3006429071975</v>
      </c>
      <c r="Z19" s="274">
        <f t="shared" si="6"/>
        <v>1368.8508557502278</v>
      </c>
      <c r="AA19" s="274">
        <f t="shared" si="6"/>
        <v>1413.6864957402763</v>
      </c>
      <c r="AB19" s="274">
        <f t="shared" si="6"/>
        <v>1358.2723504511321</v>
      </c>
      <c r="AC19" s="274">
        <f t="shared" si="6"/>
        <v>1286.8463564736467</v>
      </c>
      <c r="AD19" s="274">
        <f t="shared" si="6"/>
        <v>1332.8325706988885</v>
      </c>
      <c r="AE19" s="274">
        <f t="shared" si="6"/>
        <v>1377.497319118175</v>
      </c>
      <c r="AF19" s="274">
        <f t="shared" si="6"/>
        <v>1569.747536904455</v>
      </c>
      <c r="AG19" s="275">
        <f t="shared" si="6"/>
        <v>1780.6657834728132</v>
      </c>
      <c r="AH19" s="48"/>
    </row>
    <row r="20" spans="2:34" s="79" customFormat="1" ht="15" customHeight="1">
      <c r="B20" s="319"/>
      <c r="C20" s="75" t="s">
        <v>131</v>
      </c>
      <c r="D20" s="76">
        <v>5</v>
      </c>
      <c r="E20" s="77">
        <f>D20+D18</f>
        <v>5.25</v>
      </c>
      <c r="F20" s="77">
        <f t="shared" ref="F20:AG20" si="7">E20+E18</f>
        <v>5.5125000000000002</v>
      </c>
      <c r="G20" s="77">
        <f t="shared" si="7"/>
        <v>5.7881250000000009</v>
      </c>
      <c r="H20" s="77">
        <f t="shared" si="7"/>
        <v>6.0775312500000016</v>
      </c>
      <c r="I20" s="77">
        <f t="shared" si="7"/>
        <v>6.3814078125000018</v>
      </c>
      <c r="J20" s="77">
        <f t="shared" si="7"/>
        <v>6.7004782031250025</v>
      </c>
      <c r="K20" s="77">
        <f t="shared" si="7"/>
        <v>7.035502113281253</v>
      </c>
      <c r="L20" s="77">
        <f t="shared" si="7"/>
        <v>7.3872772189453162</v>
      </c>
      <c r="M20" s="77">
        <f t="shared" si="7"/>
        <v>7.7566410798925824</v>
      </c>
      <c r="N20" s="77">
        <f t="shared" si="7"/>
        <v>8.1444731338872121</v>
      </c>
      <c r="O20" s="77">
        <f t="shared" si="7"/>
        <v>8.5516967905815733</v>
      </c>
      <c r="P20" s="77">
        <f t="shared" si="7"/>
        <v>8.9792816301106519</v>
      </c>
      <c r="Q20" s="77">
        <f t="shared" si="7"/>
        <v>9.4282457116161851</v>
      </c>
      <c r="R20" s="77">
        <f t="shared" si="7"/>
        <v>9.8996579971969947</v>
      </c>
      <c r="S20" s="77">
        <f t="shared" si="7"/>
        <v>10.394640897056846</v>
      </c>
      <c r="T20" s="77">
        <f t="shared" si="7"/>
        <v>10.914372941909688</v>
      </c>
      <c r="U20" s="77">
        <f t="shared" si="7"/>
        <v>11.460091589005174</v>
      </c>
      <c r="V20" s="77">
        <f t="shared" si="7"/>
        <v>12.033096168455433</v>
      </c>
      <c r="W20" s="77">
        <f t="shared" si="7"/>
        <v>12.634750976878205</v>
      </c>
      <c r="X20" s="77">
        <f t="shared" si="7"/>
        <v>13.266488525722115</v>
      </c>
      <c r="Y20" s="77">
        <f t="shared" si="7"/>
        <v>13.929812952008222</v>
      </c>
      <c r="Z20" s="77">
        <f t="shared" si="7"/>
        <v>14.626303599608633</v>
      </c>
      <c r="AA20" s="77">
        <f t="shared" si="7"/>
        <v>15.357618779589066</v>
      </c>
      <c r="AB20" s="77">
        <f t="shared" si="7"/>
        <v>16.12549971856852</v>
      </c>
      <c r="AC20" s="77">
        <f t="shared" si="7"/>
        <v>16.931774704496945</v>
      </c>
      <c r="AD20" s="77">
        <f t="shared" si="7"/>
        <v>17.778363439721794</v>
      </c>
      <c r="AE20" s="77">
        <f t="shared" si="7"/>
        <v>18.667281611707885</v>
      </c>
      <c r="AF20" s="77">
        <f t="shared" si="7"/>
        <v>19.600645692293281</v>
      </c>
      <c r="AG20" s="78">
        <f t="shared" si="7"/>
        <v>20.580677976907946</v>
      </c>
      <c r="AH20" s="48" t="s">
        <v>207</v>
      </c>
    </row>
    <row r="21" spans="2:34" s="79" customFormat="1" ht="15" customHeight="1">
      <c r="B21" s="319"/>
      <c r="C21" s="75" t="s">
        <v>134</v>
      </c>
      <c r="D21" s="76">
        <v>10</v>
      </c>
      <c r="E21" s="77">
        <v>10</v>
      </c>
      <c r="F21" s="77">
        <v>10</v>
      </c>
      <c r="G21" s="77">
        <v>10</v>
      </c>
      <c r="H21" s="77">
        <v>10</v>
      </c>
      <c r="I21" s="77">
        <v>10</v>
      </c>
      <c r="J21" s="77">
        <v>10</v>
      </c>
      <c r="K21" s="77">
        <v>10</v>
      </c>
      <c r="L21" s="77">
        <v>10</v>
      </c>
      <c r="M21" s="77">
        <v>10</v>
      </c>
      <c r="N21" s="77">
        <v>10</v>
      </c>
      <c r="O21" s="77">
        <v>10</v>
      </c>
      <c r="P21" s="77">
        <v>10</v>
      </c>
      <c r="Q21" s="77">
        <v>10</v>
      </c>
      <c r="R21" s="77">
        <v>10</v>
      </c>
      <c r="S21" s="77">
        <v>10</v>
      </c>
      <c r="T21" s="77">
        <v>10</v>
      </c>
      <c r="U21" s="77">
        <v>10</v>
      </c>
      <c r="V21" s="77">
        <v>10</v>
      </c>
      <c r="W21" s="77">
        <v>10</v>
      </c>
      <c r="X21" s="77">
        <v>10</v>
      </c>
      <c r="Y21" s="77">
        <v>10</v>
      </c>
      <c r="Z21" s="77">
        <v>10</v>
      </c>
      <c r="AA21" s="77">
        <v>10</v>
      </c>
      <c r="AB21" s="77">
        <v>10</v>
      </c>
      <c r="AC21" s="77">
        <v>10</v>
      </c>
      <c r="AD21" s="77">
        <v>10</v>
      </c>
      <c r="AE21" s="77">
        <v>10</v>
      </c>
      <c r="AF21" s="77">
        <v>10</v>
      </c>
      <c r="AG21" s="78">
        <v>10</v>
      </c>
      <c r="AH21" s="80" t="s">
        <v>206</v>
      </c>
    </row>
    <row r="22" spans="2:34" s="79" customFormat="1" ht="15" customHeight="1" thickBot="1">
      <c r="B22" s="319"/>
      <c r="C22" s="276" t="s">
        <v>82</v>
      </c>
      <c r="D22" s="83">
        <v>100</v>
      </c>
      <c r="E22" s="72">
        <f>D22*$C$3</f>
        <v>102</v>
      </c>
      <c r="F22" s="72">
        <f t="shared" ref="F22:AG22" si="8">E22*$C$3</f>
        <v>104.04</v>
      </c>
      <c r="G22" s="72">
        <f t="shared" si="8"/>
        <v>106.1208</v>
      </c>
      <c r="H22" s="72">
        <f t="shared" si="8"/>
        <v>108.243216</v>
      </c>
      <c r="I22" s="72">
        <f t="shared" si="8"/>
        <v>110.40808032000001</v>
      </c>
      <c r="J22" s="72">
        <f t="shared" si="8"/>
        <v>112.61624192640001</v>
      </c>
      <c r="K22" s="72">
        <f t="shared" si="8"/>
        <v>114.868566764928</v>
      </c>
      <c r="L22" s="72">
        <f t="shared" si="8"/>
        <v>117.16593810022657</v>
      </c>
      <c r="M22" s="72">
        <f t="shared" si="8"/>
        <v>119.5092568622311</v>
      </c>
      <c r="N22" s="72">
        <f t="shared" si="8"/>
        <v>121.89944199947573</v>
      </c>
      <c r="O22" s="72">
        <f t="shared" si="8"/>
        <v>124.33743083946524</v>
      </c>
      <c r="P22" s="72">
        <f t="shared" si="8"/>
        <v>126.82417945625456</v>
      </c>
      <c r="Q22" s="72">
        <f t="shared" si="8"/>
        <v>129.36066304537965</v>
      </c>
      <c r="R22" s="72">
        <f t="shared" si="8"/>
        <v>131.94787630628724</v>
      </c>
      <c r="S22" s="72">
        <f t="shared" si="8"/>
        <v>134.58683383241299</v>
      </c>
      <c r="T22" s="72">
        <f t="shared" si="8"/>
        <v>137.27857050906127</v>
      </c>
      <c r="U22" s="72">
        <f t="shared" si="8"/>
        <v>140.02414191924251</v>
      </c>
      <c r="V22" s="72">
        <f t="shared" si="8"/>
        <v>142.82462475762736</v>
      </c>
      <c r="W22" s="72">
        <f t="shared" si="8"/>
        <v>145.6811172527799</v>
      </c>
      <c r="X22" s="72">
        <f t="shared" si="8"/>
        <v>148.59473959783551</v>
      </c>
      <c r="Y22" s="72">
        <f t="shared" si="8"/>
        <v>151.56663438979223</v>
      </c>
      <c r="Z22" s="72">
        <f t="shared" si="8"/>
        <v>154.59796707758807</v>
      </c>
      <c r="AA22" s="72">
        <f t="shared" si="8"/>
        <v>157.68992641913982</v>
      </c>
      <c r="AB22" s="72">
        <f t="shared" si="8"/>
        <v>160.84372494752262</v>
      </c>
      <c r="AC22" s="72">
        <f t="shared" si="8"/>
        <v>164.06059944647308</v>
      </c>
      <c r="AD22" s="72">
        <f t="shared" si="8"/>
        <v>167.34181143540255</v>
      </c>
      <c r="AE22" s="72">
        <f t="shared" si="8"/>
        <v>170.68864766411059</v>
      </c>
      <c r="AF22" s="72">
        <f t="shared" si="8"/>
        <v>174.1024206173928</v>
      </c>
      <c r="AG22" s="73">
        <f t="shared" si="8"/>
        <v>177.58446902974066</v>
      </c>
      <c r="AH22" s="80" t="s">
        <v>208</v>
      </c>
    </row>
    <row r="23" spans="2:34" s="79" customFormat="1">
      <c r="B23" s="320" t="s">
        <v>83</v>
      </c>
      <c r="C23" s="277" t="s">
        <v>196</v>
      </c>
      <c r="D23" s="278">
        <v>40</v>
      </c>
      <c r="E23" s="69">
        <f>$D$23*E16+$C$6*(AND(NOT(ISBLANK(E13)),E13&lt;18)+AND(NOT(ISBLANK(E14)),E14&lt;18))*E16</f>
        <v>40.799999999999997</v>
      </c>
      <c r="F23" s="69">
        <f t="shared" ref="F23:AG23" si="9">$D$23*F16+$C$6*(AND(NOT(ISBLANK(F13)),F13&lt;18)+AND(NOT(ISBLANK(F14)),F14&lt;18))*F16</f>
        <v>41.616</v>
      </c>
      <c r="G23" s="69">
        <f t="shared" si="9"/>
        <v>58.366439999999997</v>
      </c>
      <c r="H23" s="69">
        <f t="shared" si="9"/>
        <v>59.533768799999997</v>
      </c>
      <c r="I23" s="69">
        <f t="shared" si="9"/>
        <v>77.285656224000007</v>
      </c>
      <c r="J23" s="69">
        <f t="shared" si="9"/>
        <v>78.83136934848001</v>
      </c>
      <c r="K23" s="69">
        <f t="shared" si="9"/>
        <v>80.407996735449615</v>
      </c>
      <c r="L23" s="69">
        <f t="shared" si="9"/>
        <v>82.016156670158608</v>
      </c>
      <c r="M23" s="69">
        <f t="shared" si="9"/>
        <v>83.65647980356178</v>
      </c>
      <c r="N23" s="69">
        <f t="shared" si="9"/>
        <v>85.329609399633014</v>
      </c>
      <c r="O23" s="69">
        <f t="shared" si="9"/>
        <v>87.036201587625669</v>
      </c>
      <c r="P23" s="69">
        <f t="shared" si="9"/>
        <v>88.776925619378176</v>
      </c>
      <c r="Q23" s="69">
        <f t="shared" si="9"/>
        <v>90.552464131765745</v>
      </c>
      <c r="R23" s="69">
        <f t="shared" si="9"/>
        <v>92.363513414401069</v>
      </c>
      <c r="S23" s="69">
        <f t="shared" si="9"/>
        <v>94.210783682689083</v>
      </c>
      <c r="T23" s="69">
        <f t="shared" si="9"/>
        <v>96.094999356342868</v>
      </c>
      <c r="U23" s="69">
        <f t="shared" si="9"/>
        <v>98.016899343469731</v>
      </c>
      <c r="V23" s="69">
        <f t="shared" si="9"/>
        <v>99.977237330339136</v>
      </c>
      <c r="W23" s="69">
        <f t="shared" si="9"/>
        <v>101.97678207694591</v>
      </c>
      <c r="X23" s="69">
        <f t="shared" si="9"/>
        <v>104.01631771848486</v>
      </c>
      <c r="Y23" s="69">
        <f t="shared" si="9"/>
        <v>83.361648914385711</v>
      </c>
      <c r="Z23" s="69">
        <f t="shared" si="9"/>
        <v>85.028881892673425</v>
      </c>
      <c r="AA23" s="69">
        <f t="shared" si="9"/>
        <v>63.075970567655929</v>
      </c>
      <c r="AB23" s="69">
        <f t="shared" si="9"/>
        <v>64.33748997900905</v>
      </c>
      <c r="AC23" s="69">
        <f t="shared" si="9"/>
        <v>65.624239778589228</v>
      </c>
      <c r="AD23" s="69">
        <f t="shared" si="9"/>
        <v>66.936724574161005</v>
      </c>
      <c r="AE23" s="69">
        <f t="shared" si="9"/>
        <v>68.275459065644228</v>
      </c>
      <c r="AF23" s="69">
        <f t="shared" si="9"/>
        <v>69.640968246957129</v>
      </c>
      <c r="AG23" s="69">
        <f t="shared" si="9"/>
        <v>71.033787611896258</v>
      </c>
      <c r="AH23" s="279"/>
    </row>
    <row r="24" spans="2:34" s="82" customFormat="1" ht="15" customHeight="1">
      <c r="B24" s="321"/>
      <c r="C24" s="280" t="s">
        <v>88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6">
        <f>$C$7*Y15</f>
        <v>111.43850361606576</v>
      </c>
      <c r="Z24" s="76">
        <f>$C$7*Z15</f>
        <v>117.01042879686906</v>
      </c>
      <c r="AA24" s="76">
        <f>$C$7*AA15*2</f>
        <v>245.72190047342502</v>
      </c>
      <c r="AB24" s="76">
        <f>$C$7*AB15*2</f>
        <v>258.00799549709632</v>
      </c>
      <c r="AC24" s="76">
        <f>$C$7*AC15</f>
        <v>135.45419763597556</v>
      </c>
      <c r="AD24" s="76">
        <f>$C$7*AD15</f>
        <v>142.22690751777432</v>
      </c>
      <c r="AE24" s="77"/>
      <c r="AF24" s="77"/>
      <c r="AG24" s="78"/>
      <c r="AH24" s="281"/>
    </row>
    <row r="25" spans="2:34" s="82" customFormat="1" ht="15.75" customHeight="1" thickBot="1">
      <c r="B25" s="322"/>
      <c r="C25" s="282" t="s">
        <v>197</v>
      </c>
      <c r="D25" s="283">
        <f t="shared" ref="D25:AG25" si="10">SUM(D23:D24)</f>
        <v>40</v>
      </c>
      <c r="E25" s="283">
        <f t="shared" si="10"/>
        <v>40.799999999999997</v>
      </c>
      <c r="F25" s="283">
        <f t="shared" si="10"/>
        <v>41.616</v>
      </c>
      <c r="G25" s="283">
        <f t="shared" si="10"/>
        <v>58.366439999999997</v>
      </c>
      <c r="H25" s="283">
        <f t="shared" si="10"/>
        <v>59.533768799999997</v>
      </c>
      <c r="I25" s="283">
        <f t="shared" si="10"/>
        <v>77.285656224000007</v>
      </c>
      <c r="J25" s="283">
        <f t="shared" si="10"/>
        <v>78.83136934848001</v>
      </c>
      <c r="K25" s="283">
        <f t="shared" si="10"/>
        <v>80.407996735449615</v>
      </c>
      <c r="L25" s="283">
        <f t="shared" si="10"/>
        <v>82.016156670158608</v>
      </c>
      <c r="M25" s="283">
        <f t="shared" si="10"/>
        <v>83.65647980356178</v>
      </c>
      <c r="N25" s="283">
        <f t="shared" si="10"/>
        <v>85.329609399633014</v>
      </c>
      <c r="O25" s="283">
        <f t="shared" si="10"/>
        <v>87.036201587625669</v>
      </c>
      <c r="P25" s="283">
        <f t="shared" si="10"/>
        <v>88.776925619378176</v>
      </c>
      <c r="Q25" s="283">
        <f t="shared" si="10"/>
        <v>90.552464131765745</v>
      </c>
      <c r="R25" s="283">
        <f t="shared" si="10"/>
        <v>92.363513414401069</v>
      </c>
      <c r="S25" s="283">
        <f t="shared" si="10"/>
        <v>94.210783682689083</v>
      </c>
      <c r="T25" s="283">
        <f t="shared" si="10"/>
        <v>96.094999356342868</v>
      </c>
      <c r="U25" s="283">
        <f t="shared" si="10"/>
        <v>98.016899343469731</v>
      </c>
      <c r="V25" s="283">
        <f t="shared" si="10"/>
        <v>99.977237330339136</v>
      </c>
      <c r="W25" s="283">
        <f t="shared" si="10"/>
        <v>101.97678207694591</v>
      </c>
      <c r="X25" s="283">
        <f t="shared" si="10"/>
        <v>104.01631771848486</v>
      </c>
      <c r="Y25" s="283">
        <f t="shared" si="10"/>
        <v>194.80015253045147</v>
      </c>
      <c r="Z25" s="283">
        <f t="shared" si="10"/>
        <v>202.0393106895425</v>
      </c>
      <c r="AA25" s="283">
        <f t="shared" si="10"/>
        <v>308.79787104108095</v>
      </c>
      <c r="AB25" s="283">
        <f t="shared" si="10"/>
        <v>322.34548547610535</v>
      </c>
      <c r="AC25" s="283">
        <f t="shared" si="10"/>
        <v>201.0784374145648</v>
      </c>
      <c r="AD25" s="283">
        <f t="shared" si="10"/>
        <v>209.16363209193531</v>
      </c>
      <c r="AE25" s="283">
        <f t="shared" si="10"/>
        <v>68.275459065644228</v>
      </c>
      <c r="AF25" s="283">
        <f t="shared" si="10"/>
        <v>69.640968246957129</v>
      </c>
      <c r="AG25" s="284">
        <f t="shared" si="10"/>
        <v>71.033787611896258</v>
      </c>
      <c r="AH25" s="281"/>
    </row>
    <row r="26" spans="2:34" ht="15" customHeight="1">
      <c r="B26" s="309" t="s">
        <v>84</v>
      </c>
      <c r="C26" s="56" t="s">
        <v>85</v>
      </c>
      <c r="D26" s="81">
        <f t="shared" ref="D26:AG26" si="11">SUM(D19:D22)</f>
        <v>125</v>
      </c>
      <c r="E26" s="81">
        <f t="shared" si="11"/>
        <v>168.15</v>
      </c>
      <c r="F26" s="81">
        <f t="shared" si="11"/>
        <v>215.83350000000002</v>
      </c>
      <c r="G26" s="81">
        <f t="shared" si="11"/>
        <v>268.47121500000003</v>
      </c>
      <c r="H26" s="81">
        <f t="shared" si="11"/>
        <v>310.60384335000003</v>
      </c>
      <c r="I26" s="81">
        <f t="shared" si="11"/>
        <v>356.89886688150011</v>
      </c>
      <c r="J26" s="81">
        <f t="shared" si="11"/>
        <v>391.17675099793502</v>
      </c>
      <c r="K26" s="81">
        <f t="shared" si="11"/>
        <v>428.59312671741623</v>
      </c>
      <c r="L26" s="81">
        <f t="shared" si="11"/>
        <v>469.43114504040028</v>
      </c>
      <c r="M26" s="81">
        <f t="shared" si="11"/>
        <v>513.99943514828533</v>
      </c>
      <c r="N26" s="81">
        <f t="shared" si="11"/>
        <v>562.63439637430224</v>
      </c>
      <c r="O26" s="81">
        <f t="shared" si="11"/>
        <v>615.70269638261823</v>
      </c>
      <c r="P26" s="81">
        <f t="shared" si="11"/>
        <v>673.60399411061462</v>
      </c>
      <c r="Q26" s="81">
        <f t="shared" si="11"/>
        <v>736.77390769905321</v>
      </c>
      <c r="R26" s="81">
        <f t="shared" si="11"/>
        <v>805.68724945486474</v>
      </c>
      <c r="S26" s="81">
        <f t="shared" si="11"/>
        <v>880.86155187510349</v>
      </c>
      <c r="T26" s="81">
        <f t="shared" si="11"/>
        <v>962.86091092295294</v>
      </c>
      <c r="U26" s="81">
        <f t="shared" si="11"/>
        <v>1052.300175103614</v>
      </c>
      <c r="V26" s="81">
        <f t="shared" si="11"/>
        <v>1149.8495114569564</v>
      </c>
      <c r="W26" s="81">
        <f t="shared" si="11"/>
        <v>1256.2393823840732</v>
      </c>
      <c r="X26" s="81">
        <f t="shared" si="11"/>
        <v>1372.2659702771482</v>
      </c>
      <c r="Y26" s="81">
        <f t="shared" si="11"/>
        <v>1498.7970902489978</v>
      </c>
      <c r="Z26" s="81">
        <f t="shared" si="11"/>
        <v>1548.0751264274245</v>
      </c>
      <c r="AA26" s="81">
        <f t="shared" si="11"/>
        <v>1596.7340409390051</v>
      </c>
      <c r="AB26" s="81">
        <f t="shared" si="11"/>
        <v>1545.2415751172232</v>
      </c>
      <c r="AC26" s="81">
        <f t="shared" si="11"/>
        <v>1477.8387306246168</v>
      </c>
      <c r="AD26" s="81">
        <f t="shared" si="11"/>
        <v>1527.9527455740129</v>
      </c>
      <c r="AE26" s="81">
        <f t="shared" si="11"/>
        <v>1576.8532483939935</v>
      </c>
      <c r="AF26" s="81">
        <f t="shared" si="11"/>
        <v>1773.4506032141412</v>
      </c>
      <c r="AG26" s="81">
        <f t="shared" si="11"/>
        <v>1988.8309304794618</v>
      </c>
      <c r="AH26" s="48"/>
    </row>
    <row r="27" spans="2:34" s="88" customFormat="1" ht="15.75" customHeight="1" thickBot="1">
      <c r="B27" s="310"/>
      <c r="C27" s="85" t="s">
        <v>86</v>
      </c>
      <c r="D27" s="86">
        <f t="shared" ref="D27:AG27" si="12">D26/D16</f>
        <v>125</v>
      </c>
      <c r="E27" s="86">
        <f t="shared" si="12"/>
        <v>164.85294117647058</v>
      </c>
      <c r="F27" s="86">
        <f t="shared" si="12"/>
        <v>207.45242214532874</v>
      </c>
      <c r="G27" s="86">
        <f t="shared" si="12"/>
        <v>252.98642207748156</v>
      </c>
      <c r="H27" s="86">
        <f t="shared" si="12"/>
        <v>286.94993998515349</v>
      </c>
      <c r="I27" s="86">
        <f t="shared" si="12"/>
        <v>323.25429972796042</v>
      </c>
      <c r="J27" s="86">
        <f t="shared" si="12"/>
        <v>347.3537602627402</v>
      </c>
      <c r="K27" s="86">
        <f t="shared" si="12"/>
        <v>373.11610894780966</v>
      </c>
      <c r="L27" s="86">
        <f t="shared" si="12"/>
        <v>400.65496222873026</v>
      </c>
      <c r="M27" s="86">
        <f t="shared" si="12"/>
        <v>430.09173401589965</v>
      </c>
      <c r="N27" s="86">
        <f t="shared" si="12"/>
        <v>461.55617051694298</v>
      </c>
      <c r="O27" s="86">
        <f t="shared" si="12"/>
        <v>495.18692177061735</v>
      </c>
      <c r="P27" s="86">
        <f t="shared" si="12"/>
        <v>531.13215240076579</v>
      </c>
      <c r="Q27" s="86">
        <f t="shared" si="12"/>
        <v>569.55019428169862</v>
      </c>
      <c r="R27" s="86">
        <f t="shared" si="12"/>
        <v>610.6102439910768</v>
      </c>
      <c r="S27" s="86">
        <f t="shared" si="12"/>
        <v>654.49310812374779</v>
      </c>
      <c r="T27" s="86">
        <f t="shared" si="12"/>
        <v>701.39199975089923</v>
      </c>
      <c r="U27" s="86">
        <f t="shared" si="12"/>
        <v>751.51338953429729</v>
      </c>
      <c r="V27" s="86">
        <f t="shared" si="12"/>
        <v>805.07791524622951</v>
      </c>
      <c r="W27" s="86">
        <f t="shared" si="12"/>
        <v>862.32135370316962</v>
      </c>
      <c r="X27" s="86">
        <f t="shared" si="12"/>
        <v>923.49565939623437</v>
      </c>
      <c r="Y27" s="86">
        <f t="shared" si="12"/>
        <v>988.87007439543675</v>
      </c>
      <c r="Z27" s="86">
        <f t="shared" si="12"/>
        <v>1001.3554225137335</v>
      </c>
      <c r="AA27" s="86">
        <f t="shared" si="12"/>
        <v>1012.5783410507062</v>
      </c>
      <c r="AB27" s="86">
        <f t="shared" si="12"/>
        <v>960.7098913068437</v>
      </c>
      <c r="AC27" s="86">
        <f t="shared" si="12"/>
        <v>900.78832797802932</v>
      </c>
      <c r="AD27" s="86">
        <f t="shared" si="12"/>
        <v>913.07290895666858</v>
      </c>
      <c r="AE27" s="86">
        <f t="shared" si="12"/>
        <v>923.81846711739252</v>
      </c>
      <c r="AF27" s="86">
        <f t="shared" si="12"/>
        <v>1018.6248973019584</v>
      </c>
      <c r="AG27" s="87">
        <f t="shared" si="12"/>
        <v>1119.9351730169521</v>
      </c>
      <c r="AH27" s="84"/>
    </row>
    <row r="28" spans="2:34" s="89" customFormat="1">
      <c r="B28" s="51"/>
      <c r="C28" s="51"/>
    </row>
    <row r="29" spans="2:34">
      <c r="D29" s="89"/>
      <c r="E29" s="51"/>
    </row>
    <row r="31" spans="2:34" s="79" customFormat="1">
      <c r="C31" s="51"/>
    </row>
    <row r="36" s="79" customFormat="1"/>
    <row r="41" s="89" customFormat="1"/>
    <row r="42" s="89" customFormat="1"/>
    <row r="43" s="89" customFormat="1"/>
    <row r="44" s="89" customFormat="1"/>
  </sheetData>
  <mergeCells count="6">
    <mergeCell ref="B26:B27"/>
    <mergeCell ref="E2:I2"/>
    <mergeCell ref="B11:B16"/>
    <mergeCell ref="B17:B18"/>
    <mergeCell ref="B19:B22"/>
    <mergeCell ref="B23:B25"/>
  </mergeCells>
  <pageMargins left="1.25" right="1.25" top="1.2958333333333301" bottom="1.2958333333333301" header="0.511811023622047" footer="0.511811023622047"/>
  <pageSetup pageOrder="overThenDown" orientation="portrait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32722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0. Cover Page</vt:lpstr>
      <vt:lpstr>1. Summary &amp; Budget</vt:lpstr>
      <vt:lpstr>2. Recommended Readings</vt:lpstr>
      <vt:lpstr>3. Projections</vt:lpstr>
      <vt:lpstr>4. Life Planning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Shah, Dylan S</dc:creator>
  <dc:description/>
  <cp:lastModifiedBy>Dylan Shah</cp:lastModifiedBy>
  <cp:revision>106</cp:revision>
  <dcterms:created xsi:type="dcterms:W3CDTF">2015-07-01T16:05:12Z</dcterms:created>
  <dcterms:modified xsi:type="dcterms:W3CDTF">2024-08-27T13:27:52Z</dcterms:modified>
  <dc:language>en-US</dc:language>
</cp:coreProperties>
</file>